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tables/table1.xml" ContentType="application/vnd.openxmlformats-officedocument.spreadsheetml.table+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Y:\Gjaldskrá\2026\06 Júní 2026\"/>
    </mc:Choice>
  </mc:AlternateContent>
  <xr:revisionPtr revIDLastSave="0" documentId="13_ncr:1_{0CD17AD1-9793-4FF6-A219-060C48FB65D9}" xr6:coauthVersionLast="47" xr6:coauthVersionMax="47" xr10:uidLastSave="{00000000-0000-0000-0000-000000000000}"/>
  <bookViews>
    <workbookView xWindow="4155" yWindow="1935" windowWidth="21600" windowHeight="11295" tabRatio="733" firstSheet="6" activeTab="11" xr2:uid="{00000000-000D-0000-FFFF-FFFF00000000}"/>
  </bookViews>
  <sheets>
    <sheet name="Heild" sheetId="6" r:id="rId1"/>
    <sheet name="Úthlutun lóða" sheetId="19" r:id="rId2"/>
    <sheet name="Kafli 1 Viðbótargjald" sheetId="25" r:id="rId3"/>
    <sheet name="Kafli 3 Byggingarleyfisgjald" sheetId="20" r:id="rId4"/>
    <sheet name="Kafli 4 Framkvæmdaleyfisgjad" sheetId="21" r:id="rId5"/>
    <sheet name="Kafli 5 Skipulagsbreytingar" sheetId="22" r:id="rId6"/>
    <sheet name="Kafli 6 Gatnagerðargjöld" sheetId="23" r:id="rId7"/>
    <sheet name="Kafli 7 - Holræsi" sheetId="26" r:id="rId8"/>
    <sheet name="Kafli 8 - Vatnsgjald" sheetId="24" r:id="rId9"/>
    <sheet name="Kafli 8 - Vatnsgjald (2)" sheetId="28" r:id="rId10"/>
    <sheet name="Uppfærslur" sheetId="12" r:id="rId11"/>
    <sheet name="Vísitölur" sheetId="17" r:id="rId12"/>
  </sheets>
  <externalReferences>
    <externalReference r:id="rId13"/>
  </externalReferences>
  <definedNames>
    <definedName name="_xlcn.WorksheetConnection_162100507GJS001V17Gjaldskrá.xlsxVísitölur_frá_Hagstofu1" hidden="1">Vísitölur_frá_Hagstofu[]</definedName>
    <definedName name="Byggingarleyfisgjöld_íbúðir" localSheetId="2">#REF!</definedName>
    <definedName name="Byggingarleyfisgjöld_íbúðir" localSheetId="3">#REF!</definedName>
    <definedName name="Byggingarleyfisgjöld_íbúðir" localSheetId="4">#REF!</definedName>
    <definedName name="Byggingarleyfisgjöld_íbúðir" localSheetId="5">#REF!</definedName>
    <definedName name="Byggingarleyfisgjöld_íbúðir" localSheetId="6">#REF!</definedName>
    <definedName name="Byggingarleyfisgjöld_íbúðir" localSheetId="7">#REF!</definedName>
    <definedName name="Byggingarleyfisgjöld_íbúðir" localSheetId="8">#REF!</definedName>
    <definedName name="Byggingarleyfisgjöld_íbúðir" localSheetId="9">#REF!</definedName>
    <definedName name="Byggingarleyfisgjöld_íbúðir" localSheetId="10">#REF!</definedName>
    <definedName name="Byggingarleyfisgjöld_íbúðir" localSheetId="1">#REF!</definedName>
    <definedName name="Byggingarleyfisgjöld_íbúðir">#REF!</definedName>
    <definedName name="Gatnagerðargjöld" localSheetId="2">#REF!</definedName>
    <definedName name="Gatnagerðargjöld" localSheetId="3">#REF!</definedName>
    <definedName name="Gatnagerðargjöld" localSheetId="4">#REF!</definedName>
    <definedName name="Gatnagerðargjöld" localSheetId="5">#REF!</definedName>
    <definedName name="Gatnagerðargjöld" localSheetId="6">#REF!</definedName>
    <definedName name="Gatnagerðargjöld" localSheetId="7">#REF!</definedName>
    <definedName name="Gatnagerðargjöld" localSheetId="8">#REF!</definedName>
    <definedName name="Gatnagerðargjöld" localSheetId="9">#REF!</definedName>
    <definedName name="Gatnagerðargjöld" localSheetId="10">#REF!</definedName>
    <definedName name="Gatnagerðargjöld" localSheetId="1">#REF!</definedName>
    <definedName name="Gatnagerðargjöld">#REF!</definedName>
    <definedName name="Holræsi" localSheetId="2">#REF!</definedName>
    <definedName name="Holræsi" localSheetId="3">#REF!</definedName>
    <definedName name="Holræsi" localSheetId="4">#REF!</definedName>
    <definedName name="Holræsi" localSheetId="5">#REF!</definedName>
    <definedName name="Holræsi" localSheetId="6">#REF!</definedName>
    <definedName name="Holræsi" localSheetId="7">#REF!</definedName>
    <definedName name="Holræsi" localSheetId="8">#REF!</definedName>
    <definedName name="Holræsi" localSheetId="9">#REF!</definedName>
    <definedName name="Holræsi" localSheetId="10">#REF!</definedName>
    <definedName name="Holræsi" localSheetId="1">#REF!</definedName>
    <definedName name="Holræsi">#REF!</definedName>
    <definedName name="_xlnm.Print_Area" localSheetId="0">Heild!$E$1:$N$238</definedName>
    <definedName name="_xlnm.Print_Area" localSheetId="2">'Kafli 1 Viðbótargjald'!$E$1:$M$33</definedName>
    <definedName name="_xlnm.Print_Area" localSheetId="3">'Kafli 3 Byggingarleyfisgjald'!$E$1:$M$74</definedName>
    <definedName name="_xlnm.Print_Area" localSheetId="4">'Kafli 4 Framkvæmdaleyfisgjad'!$E$1:$M$32</definedName>
    <definedName name="_xlnm.Print_Area" localSheetId="5">'Kafli 5 Skipulagsbreytingar'!$E$1:$O$92</definedName>
    <definedName name="_xlnm.Print_Area" localSheetId="6">'Kafli 6 Gatnagerðargjöld'!$E$1:$M$58</definedName>
    <definedName name="_xlnm.Print_Area" localSheetId="7">'Kafli 7 - Holræsi'!$E$1:$M$32</definedName>
    <definedName name="_xlnm.Print_Area" localSheetId="8">'Kafli 8 - Vatnsgjald'!$E$1:$M$85</definedName>
    <definedName name="_xlnm.Print_Area" localSheetId="9">'Kafli 8 - Vatnsgjald (2)'!$E$1:$M$85</definedName>
    <definedName name="_xlnm.Print_Area" localSheetId="1">'Úthlutun lóða'!$E$1:$M$98</definedName>
    <definedName name="_xlnm.Print_Titles" localSheetId="0">Heild!$1:$8</definedName>
    <definedName name="_xlnm.Print_Titles" localSheetId="2">'Kafli 1 Viðbótargjald'!$1:$8</definedName>
    <definedName name="_xlnm.Print_Titles" localSheetId="3">'Kafli 3 Byggingarleyfisgjald'!$1:$8</definedName>
    <definedName name="_xlnm.Print_Titles" localSheetId="4">'Kafli 4 Framkvæmdaleyfisgjad'!$1:$8</definedName>
    <definedName name="_xlnm.Print_Titles" localSheetId="5">'Kafli 5 Skipulagsbreytingar'!$1:$8</definedName>
    <definedName name="_xlnm.Print_Titles" localSheetId="6">'Kafli 6 Gatnagerðargjöld'!$1:$8</definedName>
    <definedName name="_xlnm.Print_Titles" localSheetId="7">'Kafli 7 - Holræsi'!$1:$8</definedName>
    <definedName name="_xlnm.Print_Titles" localSheetId="8">'Kafli 8 - Vatnsgjald'!$1:$8</definedName>
    <definedName name="_xlnm.Print_Titles" localSheetId="9">'Kafli 8 - Vatnsgjald (2)'!$1:$8</definedName>
    <definedName name="_xlnm.Print_Titles" localSheetId="1">'Úthlutun lóða'!$1:$8</definedName>
    <definedName name="Stofngjald_Holræsa">#REF!</definedName>
    <definedName name="Vatnsveita" localSheetId="2">#REF!</definedName>
    <definedName name="Vatnsveita" localSheetId="3">#REF!</definedName>
    <definedName name="Vatnsveita" localSheetId="4">#REF!</definedName>
    <definedName name="Vatnsveita" localSheetId="5">#REF!</definedName>
    <definedName name="Vatnsveita" localSheetId="6">#REF!</definedName>
    <definedName name="Vatnsveita" localSheetId="7">#REF!</definedName>
    <definedName name="Vatnsveita" localSheetId="8">#REF!</definedName>
    <definedName name="Vatnsveita" localSheetId="9">#REF!</definedName>
    <definedName name="Vatnsveita" localSheetId="10">#REF!</definedName>
    <definedName name="Vatnsveita" localSheetId="1">#REF!</definedName>
    <definedName name="Vatnsveita">#REF!</definedName>
    <definedName name="Vísitölur_frá_Hagstofu_1" localSheetId="11" hidden="1">Vísitölur!#REF!</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Vísitölur_frá_Hagstofu" name="Vísitölur_frá_Hagstofu" connection="WorksheetConnection_1621-005-07-GJS-001-V17-Gjaldskrá.xlsx!Vísitölur_frá_Hagstofu"/>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7" l="1"/>
  <c r="M37" i="28"/>
  <c r="M37" i="24"/>
  <c r="M186" i="6"/>
  <c r="M20" i="24"/>
  <c r="E85" i="28"/>
  <c r="E84" i="28"/>
  <c r="E83" i="28"/>
  <c r="M19" i="24"/>
  <c r="A2" i="17" l="1"/>
  <c r="I231" i="6" s="1"/>
  <c r="D2" i="17"/>
  <c r="M20" i="25" s="1"/>
  <c r="B2" i="17"/>
  <c r="C2" i="17"/>
  <c r="I81" i="28" l="1"/>
  <c r="I79" i="22"/>
  <c r="J23" i="22" s="1"/>
  <c r="I94" i="19"/>
  <c r="I81" i="24"/>
  <c r="I28" i="21"/>
  <c r="I71" i="20"/>
  <c r="I28" i="26"/>
  <c r="I54" i="23"/>
  <c r="J17" i="23" s="1"/>
  <c r="I25" i="25"/>
  <c r="I52" i="23"/>
  <c r="I23" i="25"/>
  <c r="I79" i="28"/>
  <c r="I77" i="22"/>
  <c r="I92" i="19"/>
  <c r="I79" i="24"/>
  <c r="I26" i="21"/>
  <c r="I26" i="26"/>
  <c r="I69" i="20"/>
  <c r="M76" i="28"/>
  <c r="J35" i="28" s="1"/>
  <c r="M89" i="19"/>
  <c r="M76" i="24"/>
  <c r="M229" i="6"/>
  <c r="M49" i="23"/>
  <c r="M74" i="22"/>
  <c r="M23" i="21"/>
  <c r="M23" i="26"/>
  <c r="M66" i="20"/>
  <c r="I25" i="26"/>
  <c r="I76" i="22"/>
  <c r="I25" i="21"/>
  <c r="I68" i="20"/>
  <c r="I78" i="28"/>
  <c r="I91" i="19"/>
  <c r="I78" i="24"/>
  <c r="I22" i="25"/>
  <c r="I51" i="23"/>
  <c r="M187" i="6"/>
  <c r="M185" i="6"/>
  <c r="M184" i="6"/>
  <c r="M183" i="6"/>
  <c r="M182" i="6"/>
  <c r="M181" i="6"/>
  <c r="M180" i="6"/>
  <c r="M76" i="19"/>
  <c r="M75" i="19"/>
  <c r="M74" i="19"/>
  <c r="M73" i="19"/>
  <c r="M72" i="19"/>
  <c r="M71" i="19"/>
  <c r="M70" i="19"/>
  <c r="M69" i="19"/>
  <c r="M63" i="19"/>
  <c r="M65" i="19" s="1"/>
  <c r="E31" i="26"/>
  <c r="E32" i="26"/>
  <c r="E30" i="26"/>
  <c r="J11" i="24" l="1"/>
  <c r="M11" i="24" s="1"/>
  <c r="M13" i="24" s="1"/>
  <c r="J35" i="24"/>
  <c r="J194" i="6"/>
  <c r="M194" i="6" s="1"/>
  <c r="M196" i="6" s="1"/>
  <c r="J174" i="6"/>
  <c r="M174" i="6" s="1"/>
  <c r="M176" i="6" s="1"/>
  <c r="I180" i="6"/>
  <c r="J48" i="28"/>
  <c r="J11" i="28"/>
  <c r="I60" i="28"/>
  <c r="M60" i="28" s="1"/>
  <c r="M57" i="28"/>
  <c r="H45" i="28"/>
  <c r="H46" i="28"/>
  <c r="H47" i="28"/>
  <c r="J47" i="28"/>
  <c r="J46" i="28"/>
  <c r="I19" i="28"/>
  <c r="M19" i="28" s="1"/>
  <c r="J22" i="28"/>
  <c r="J19" i="28"/>
  <c r="I24" i="28"/>
  <c r="M24" i="28" s="1"/>
  <c r="M28" i="28"/>
  <c r="H44" i="28"/>
  <c r="J43" i="28"/>
  <c r="I20" i="28"/>
  <c r="M20" i="28" s="1"/>
  <c r="J44" i="28"/>
  <c r="J20" i="28"/>
  <c r="I21" i="28"/>
  <c r="M21" i="28" s="1"/>
  <c r="I25" i="28"/>
  <c r="M25" i="28" s="1"/>
  <c r="J25" i="28"/>
  <c r="I19" i="24"/>
  <c r="J20" i="24"/>
  <c r="I22" i="24"/>
  <c r="J22" i="24"/>
  <c r="I23" i="24"/>
  <c r="J23" i="24"/>
  <c r="I24" i="24"/>
  <c r="J24" i="24"/>
  <c r="I25" i="24"/>
  <c r="J19" i="24"/>
  <c r="I20" i="24"/>
  <c r="J21" i="24"/>
  <c r="I21" i="24"/>
  <c r="J26" i="28"/>
  <c r="J50" i="28"/>
  <c r="J24" i="28"/>
  <c r="J49" i="28"/>
  <c r="H43" i="28"/>
  <c r="M43" i="28" s="1"/>
  <c r="J23" i="28"/>
  <c r="H49" i="28"/>
  <c r="I59" i="28"/>
  <c r="M59" i="28" s="1"/>
  <c r="J45" i="28"/>
  <c r="H50" i="28"/>
  <c r="I23" i="28"/>
  <c r="M23" i="28" s="1"/>
  <c r="H48" i="28"/>
  <c r="I22" i="28"/>
  <c r="M22" i="28" s="1"/>
  <c r="J67" i="28"/>
  <c r="M67" i="28" s="1"/>
  <c r="M69" i="28" s="1"/>
  <c r="I26" i="28"/>
  <c r="M26" i="28" s="1"/>
  <c r="J21" i="28"/>
  <c r="M47" i="28"/>
  <c r="M212" i="6"/>
  <c r="J70" i="19"/>
  <c r="M21" i="24"/>
  <c r="M22" i="24"/>
  <c r="M23" i="24"/>
  <c r="M24" i="24"/>
  <c r="M25" i="24"/>
  <c r="M26" i="24"/>
  <c r="M45" i="28" l="1"/>
  <c r="M62" i="28"/>
  <c r="M49" i="28"/>
  <c r="M44" i="28"/>
  <c r="M46" i="28"/>
  <c r="M30" i="28"/>
  <c r="M50" i="28"/>
  <c r="M48" i="28"/>
  <c r="M11" i="28"/>
  <c r="M13" i="28" s="1"/>
  <c r="M28" i="24"/>
  <c r="M30" i="24" s="1"/>
  <c r="I60" i="24"/>
  <c r="M60" i="24" s="1"/>
  <c r="I72" i="19"/>
  <c r="I70" i="19"/>
  <c r="I74" i="19"/>
  <c r="I71" i="19"/>
  <c r="J206" i="6"/>
  <c r="J202" i="6"/>
  <c r="J185" i="6"/>
  <c r="I184" i="6"/>
  <c r="J204" i="6"/>
  <c r="H203" i="6"/>
  <c r="H207" i="6"/>
  <c r="M189" i="6"/>
  <c r="I214" i="6"/>
  <c r="I182" i="6"/>
  <c r="J187" i="6"/>
  <c r="J184" i="6"/>
  <c r="J220" i="6"/>
  <c r="J207" i="6"/>
  <c r="H204" i="6"/>
  <c r="H200" i="6"/>
  <c r="H206" i="6"/>
  <c r="J180" i="6"/>
  <c r="J205" i="6"/>
  <c r="J203" i="6"/>
  <c r="I183" i="6"/>
  <c r="H205" i="6"/>
  <c r="M78" i="19"/>
  <c r="M80" i="19" s="1"/>
  <c r="J73" i="19"/>
  <c r="J69" i="19"/>
  <c r="J71" i="19"/>
  <c r="J76" i="19"/>
  <c r="I73" i="19"/>
  <c r="J75" i="19"/>
  <c r="I75" i="19"/>
  <c r="H202" i="6"/>
  <c r="J201" i="6"/>
  <c r="J182" i="6"/>
  <c r="I181" i="6"/>
  <c r="I69" i="19"/>
  <c r="J74" i="19"/>
  <c r="I185" i="6"/>
  <c r="I215" i="6"/>
  <c r="J200" i="6"/>
  <c r="I187" i="6"/>
  <c r="I76" i="19"/>
  <c r="J72" i="19"/>
  <c r="J181" i="6"/>
  <c r="H201" i="6"/>
  <c r="J183" i="6"/>
  <c r="I186" i="6"/>
  <c r="J186" i="6"/>
  <c r="J67" i="24"/>
  <c r="M67" i="24" s="1"/>
  <c r="M69" i="24" s="1"/>
  <c r="J44" i="24"/>
  <c r="I59" i="24"/>
  <c r="M59" i="24" s="1"/>
  <c r="M57" i="24"/>
  <c r="H43" i="24"/>
  <c r="H50" i="24"/>
  <c r="J43" i="24"/>
  <c r="H48" i="24"/>
  <c r="J48" i="24"/>
  <c r="H49" i="24"/>
  <c r="H47" i="24"/>
  <c r="J47" i="24"/>
  <c r="J50" i="24"/>
  <c r="H46" i="24"/>
  <c r="J46" i="24"/>
  <c r="H45" i="24"/>
  <c r="J45" i="24"/>
  <c r="J49" i="24"/>
  <c r="H44" i="24"/>
  <c r="J25" i="24"/>
  <c r="I26" i="24"/>
  <c r="J26" i="24"/>
  <c r="M52" i="28" l="1"/>
  <c r="M72" i="28"/>
  <c r="M44" i="24"/>
  <c r="M62" i="24"/>
  <c r="M46" i="24"/>
  <c r="M48" i="24"/>
  <c r="M43" i="24"/>
  <c r="M49" i="24"/>
  <c r="M50" i="24"/>
  <c r="M45" i="24"/>
  <c r="M47" i="24"/>
  <c r="M52" i="24" l="1"/>
  <c r="M72" i="24" s="1"/>
  <c r="M166" i="6"/>
  <c r="I232" i="6" l="1"/>
  <c r="I234" i="6"/>
  <c r="J138" i="6" s="1"/>
  <c r="M138" i="6" s="1"/>
  <c r="J34" i="23"/>
  <c r="J11" i="26"/>
  <c r="J13" i="21"/>
  <c r="J11" i="25"/>
  <c r="J43" i="19"/>
  <c r="M43" i="19" s="1"/>
  <c r="J11" i="19"/>
  <c r="E29" i="25"/>
  <c r="E28" i="25"/>
  <c r="E27" i="25"/>
  <c r="J156" i="6" l="1"/>
  <c r="M156" i="6" s="1"/>
  <c r="J160" i="6"/>
  <c r="M160" i="6" s="1"/>
  <c r="J155" i="6"/>
  <c r="M155" i="6" s="1"/>
  <c r="J159" i="6"/>
  <c r="M159" i="6" s="1"/>
  <c r="J154" i="6"/>
  <c r="M154" i="6" s="1"/>
  <c r="J158" i="6"/>
  <c r="M158" i="6" s="1"/>
  <c r="J12" i="23"/>
  <c r="J24" i="23" s="1"/>
  <c r="J39" i="23"/>
  <c r="M39" i="23" s="1"/>
  <c r="J37" i="23"/>
  <c r="M37" i="23" s="1"/>
  <c r="J35" i="23"/>
  <c r="M35" i="23" s="1"/>
  <c r="M34" i="23"/>
  <c r="J33" i="23"/>
  <c r="M33" i="23" s="1"/>
  <c r="J38" i="23"/>
  <c r="M38" i="23" s="1"/>
  <c r="J139" i="6"/>
  <c r="M139" i="6" s="1"/>
  <c r="J135" i="6"/>
  <c r="M135" i="6" s="1"/>
  <c r="J137" i="6"/>
  <c r="M137" i="6" s="1"/>
  <c r="J133" i="6"/>
  <c r="J134" i="6"/>
  <c r="M134" i="6" s="1"/>
  <c r="J48" i="19"/>
  <c r="M48" i="19" s="1"/>
  <c r="J47" i="19"/>
  <c r="M47" i="19" s="1"/>
  <c r="J42" i="19"/>
  <c r="M42" i="19" s="1"/>
  <c r="J44" i="19"/>
  <c r="M44" i="19" s="1"/>
  <c r="J46" i="19"/>
  <c r="M46" i="19" s="1"/>
  <c r="J26" i="23"/>
  <c r="J18" i="23"/>
  <c r="J27" i="23" s="1"/>
  <c r="J14" i="23"/>
  <c r="J16" i="23"/>
  <c r="J23" i="23" s="1"/>
  <c r="J13" i="23"/>
  <c r="J25" i="23" s="1"/>
  <c r="J11" i="21"/>
  <c r="J12" i="21"/>
  <c r="J15" i="26"/>
  <c r="M15" i="26" s="1"/>
  <c r="M14" i="26"/>
  <c r="J12" i="26"/>
  <c r="M12" i="26" s="1"/>
  <c r="M11" i="26"/>
  <c r="J8" i="19"/>
  <c r="E98" i="19"/>
  <c r="E97" i="19"/>
  <c r="E96" i="19"/>
  <c r="E32" i="21"/>
  <c r="E31" i="21"/>
  <c r="E30" i="21"/>
  <c r="E83" i="22"/>
  <c r="E82" i="22"/>
  <c r="E81" i="22"/>
  <c r="E58" i="23"/>
  <c r="E57" i="23"/>
  <c r="E56" i="23"/>
  <c r="E85" i="24"/>
  <c r="E84" i="24"/>
  <c r="E83" i="24"/>
  <c r="M162" i="6" l="1"/>
  <c r="M41" i="23"/>
  <c r="J147" i="6"/>
  <c r="M147" i="6" s="1"/>
  <c r="J145" i="6"/>
  <c r="M145" i="6" s="1"/>
  <c r="M133" i="6"/>
  <c r="J148" i="6"/>
  <c r="M148" i="6" s="1"/>
  <c r="J144" i="6"/>
  <c r="M144" i="6" s="1"/>
  <c r="J146" i="6"/>
  <c r="M146" i="6" s="1"/>
  <c r="M50" i="19"/>
  <c r="M17" i="26"/>
  <c r="M19" i="26" s="1"/>
  <c r="M25" i="23"/>
  <c r="M150" i="6" l="1"/>
  <c r="M141" i="6"/>
  <c r="M17" i="23"/>
  <c r="M26" i="23"/>
  <c r="M12" i="23"/>
  <c r="M24" i="23"/>
  <c r="M16" i="23"/>
  <c r="M23" i="23"/>
  <c r="E74" i="20"/>
  <c r="E73" i="20"/>
  <c r="E72" i="20"/>
  <c r="M58" i="19"/>
  <c r="M55" i="19"/>
  <c r="J11" i="6" l="1"/>
  <c r="M11" i="6" s="1"/>
  <c r="J169" i="6"/>
  <c r="M169" i="6" s="1"/>
  <c r="J168" i="6"/>
  <c r="J166" i="6"/>
  <c r="J165" i="6"/>
  <c r="J97" i="6" l="1"/>
  <c r="M97" i="6" s="1"/>
  <c r="J57" i="19"/>
  <c r="M57" i="19" s="1"/>
  <c r="J54" i="19"/>
  <c r="M54" i="19" s="1"/>
  <c r="J58" i="19"/>
  <c r="J55" i="19"/>
  <c r="M11" i="19"/>
  <c r="M11" i="25"/>
  <c r="M15" i="25" s="1"/>
  <c r="M14" i="23"/>
  <c r="M60" i="19" l="1"/>
  <c r="M18" i="23"/>
  <c r="M13" i="23"/>
  <c r="J58" i="22"/>
  <c r="M58" i="22" s="1"/>
  <c r="J45" i="22"/>
  <c r="M45" i="22" s="1"/>
  <c r="J30" i="22"/>
  <c r="M30" i="22" s="1"/>
  <c r="J15" i="22"/>
  <c r="M15" i="22" s="1"/>
  <c r="J57" i="22"/>
  <c r="M57" i="22" s="1"/>
  <c r="J51" i="22"/>
  <c r="M51" i="22" s="1"/>
  <c r="J44" i="22"/>
  <c r="M44" i="22" s="1"/>
  <c r="J29" i="22"/>
  <c r="M29" i="22" s="1"/>
  <c r="J16" i="22"/>
  <c r="M16" i="22" s="1"/>
  <c r="J56" i="22"/>
  <c r="M56" i="22" s="1"/>
  <c r="J50" i="22"/>
  <c r="M50" i="22" s="1"/>
  <c r="J28" i="22"/>
  <c r="M28" i="22" s="1"/>
  <c r="J14" i="22"/>
  <c r="M14" i="22" s="1"/>
  <c r="J62" i="22"/>
  <c r="M62" i="22" s="1"/>
  <c r="J49" i="22"/>
  <c r="M49" i="22" s="1"/>
  <c r="J43" i="22"/>
  <c r="M43" i="22" s="1"/>
  <c r="J26" i="22"/>
  <c r="M26" i="22" s="1"/>
  <c r="J12" i="22"/>
  <c r="M12" i="22" s="1"/>
  <c r="J61" i="22"/>
  <c r="M61" i="22" s="1"/>
  <c r="J55" i="22"/>
  <c r="M55" i="22" s="1"/>
  <c r="J48" i="22"/>
  <c r="M48" i="22" s="1"/>
  <c r="J42" i="22"/>
  <c r="M42" i="22" s="1"/>
  <c r="J60" i="22"/>
  <c r="M60" i="22" s="1"/>
  <c r="J54" i="22"/>
  <c r="M54" i="22" s="1"/>
  <c r="J36" i="22"/>
  <c r="M36" i="22" s="1"/>
  <c r="M23" i="22"/>
  <c r="J53" i="22"/>
  <c r="M53" i="22" s="1"/>
  <c r="J47" i="22"/>
  <c r="M47" i="22" s="1"/>
  <c r="J35" i="22"/>
  <c r="M35" i="22" s="1"/>
  <c r="J21" i="22"/>
  <c r="M21" i="22" s="1"/>
  <c r="J59" i="22"/>
  <c r="M59" i="22" s="1"/>
  <c r="J52" i="22"/>
  <c r="M52" i="22" s="1"/>
  <c r="J46" i="22"/>
  <c r="M46" i="22" s="1"/>
  <c r="M66" i="22" l="1"/>
  <c r="M39" i="22"/>
  <c r="M32" i="22"/>
  <c r="M18" i="22"/>
  <c r="M27" i="23"/>
  <c r="M29" i="23" s="1"/>
  <c r="M20" i="23"/>
  <c r="M13" i="21"/>
  <c r="M12" i="21"/>
  <c r="M11" i="21"/>
  <c r="J55" i="20"/>
  <c r="M55" i="20" s="1"/>
  <c r="J37" i="20"/>
  <c r="M37" i="20" s="1"/>
  <c r="J29" i="20"/>
  <c r="M29" i="20" s="1"/>
  <c r="J20" i="20"/>
  <c r="M20" i="20" s="1"/>
  <c r="J13" i="20"/>
  <c r="M13" i="20" s="1"/>
  <c r="J30" i="20"/>
  <c r="M30" i="20" s="1"/>
  <c r="J54" i="20"/>
  <c r="M54" i="20" s="1"/>
  <c r="J45" i="20"/>
  <c r="M45" i="20" s="1"/>
  <c r="J36" i="20"/>
  <c r="M36" i="20" s="1"/>
  <c r="J28" i="20"/>
  <c r="M28" i="20" s="1"/>
  <c r="J12" i="20"/>
  <c r="M12" i="20" s="1"/>
  <c r="J19" i="20"/>
  <c r="M19" i="20" s="1"/>
  <c r="J25" i="20"/>
  <c r="M25" i="20" s="1"/>
  <c r="J39" i="20"/>
  <c r="M39" i="20" s="1"/>
  <c r="J46" i="20"/>
  <c r="M46" i="20" s="1"/>
  <c r="J15" i="20"/>
  <c r="M15" i="20" s="1"/>
  <c r="J53" i="20"/>
  <c r="M53" i="20" s="1"/>
  <c r="J44" i="20"/>
  <c r="M44" i="20" s="1"/>
  <c r="J27" i="20"/>
  <c r="M27" i="20" s="1"/>
  <c r="J11" i="20"/>
  <c r="M11" i="20" s="1"/>
  <c r="J31" i="20"/>
  <c r="M31" i="20" s="1"/>
  <c r="J22" i="20"/>
  <c r="M22" i="20" s="1"/>
  <c r="J43" i="20"/>
  <c r="M43" i="20" s="1"/>
  <c r="J35" i="20"/>
  <c r="M35" i="20" s="1"/>
  <c r="J26" i="20"/>
  <c r="M26" i="20" s="1"/>
  <c r="J18" i="20"/>
  <c r="M18" i="20" s="1"/>
  <c r="J51" i="20"/>
  <c r="M51" i="20" s="1"/>
  <c r="J42" i="20"/>
  <c r="M42" i="20" s="1"/>
  <c r="J34" i="20"/>
  <c r="M34" i="20" s="1"/>
  <c r="J17" i="20"/>
  <c r="M17" i="20" s="1"/>
  <c r="J50" i="20"/>
  <c r="M50" i="20" s="1"/>
  <c r="J16" i="20"/>
  <c r="M16" i="20" s="1"/>
  <c r="J47" i="20"/>
  <c r="M47" i="20" s="1"/>
  <c r="J21" i="20"/>
  <c r="M21" i="20" s="1"/>
  <c r="J38" i="20"/>
  <c r="M38" i="20" s="1"/>
  <c r="J33" i="19"/>
  <c r="M33" i="19" s="1"/>
  <c r="J35" i="19"/>
  <c r="M35" i="19" s="1"/>
  <c r="J34" i="19"/>
  <c r="M34" i="19" s="1"/>
  <c r="J26" i="19"/>
  <c r="M26" i="19" s="1"/>
  <c r="J17" i="19"/>
  <c r="M17" i="19" s="1"/>
  <c r="J16" i="19"/>
  <c r="M16" i="19" s="1"/>
  <c r="J23" i="19"/>
  <c r="M23" i="19" s="1"/>
  <c r="J22" i="19"/>
  <c r="M22" i="19" s="1"/>
  <c r="J20" i="19"/>
  <c r="M20" i="19" s="1"/>
  <c r="J25" i="19"/>
  <c r="M25" i="19" s="1"/>
  <c r="J27" i="19"/>
  <c r="M27" i="19" s="1"/>
  <c r="J24" i="19"/>
  <c r="M24" i="19" s="1"/>
  <c r="J21" i="19"/>
  <c r="M21" i="19" s="1"/>
  <c r="J18" i="19"/>
  <c r="M18" i="19" s="1"/>
  <c r="M44" i="23" l="1"/>
  <c r="M29" i="19"/>
  <c r="M37" i="19"/>
  <c r="M57" i="20"/>
  <c r="M61" i="20" s="1"/>
  <c r="M15" i="21"/>
  <c r="M18" i="21" s="1"/>
  <c r="M84" i="19" l="1"/>
  <c r="M165" i="6"/>
  <c r="M168" i="6"/>
  <c r="J122" i="6"/>
  <c r="M122" i="6" s="1"/>
  <c r="M171" i="6" l="1"/>
  <c r="J64" i="6"/>
  <c r="M64" i="6" s="1"/>
  <c r="J15" i="6"/>
  <c r="M15" i="6" s="1"/>
  <c r="J22" i="6" l="1"/>
  <c r="M22" i="6" s="1"/>
  <c r="J35" i="6"/>
  <c r="M35" i="6" s="1"/>
  <c r="J55" i="6"/>
  <c r="M55" i="6" s="1"/>
  <c r="J74" i="6"/>
  <c r="M74" i="6" s="1"/>
  <c r="J103" i="6"/>
  <c r="M103" i="6" s="1"/>
  <c r="J33" i="6"/>
  <c r="M33" i="6" s="1"/>
  <c r="J109" i="6"/>
  <c r="M109" i="6" s="1"/>
  <c r="J25" i="6"/>
  <c r="M25" i="6" s="1"/>
  <c r="J26" i="6"/>
  <c r="M26" i="6" s="1"/>
  <c r="J31" i="6"/>
  <c r="M31" i="6" s="1"/>
  <c r="J75" i="6"/>
  <c r="M75" i="6" s="1"/>
  <c r="J17" i="6"/>
  <c r="M17" i="6" s="1"/>
  <c r="J118" i="6"/>
  <c r="M118" i="6" s="1"/>
  <c r="J46" i="6"/>
  <c r="M46" i="6" s="1"/>
  <c r="J58" i="6"/>
  <c r="M58" i="6" s="1"/>
  <c r="J96" i="6"/>
  <c r="M96" i="6" s="1"/>
  <c r="J32" i="6"/>
  <c r="M32" i="6" s="1"/>
  <c r="J90" i="6"/>
  <c r="M90" i="6" s="1"/>
  <c r="J51" i="6"/>
  <c r="M51" i="6" s="1"/>
  <c r="J105" i="6"/>
  <c r="M105" i="6" s="1"/>
  <c r="J116" i="6"/>
  <c r="M116" i="6" s="1"/>
  <c r="J43" i="6"/>
  <c r="M43" i="6" s="1"/>
  <c r="J114" i="6"/>
  <c r="M114" i="6" s="1"/>
  <c r="J34" i="6"/>
  <c r="M34" i="6" s="1"/>
  <c r="J88" i="6"/>
  <c r="M88" i="6" s="1"/>
  <c r="J47" i="6"/>
  <c r="M47" i="6" s="1"/>
  <c r="J49" i="6"/>
  <c r="M49" i="6" s="1"/>
  <c r="J38" i="6"/>
  <c r="M38" i="6" s="1"/>
  <c r="J40" i="6"/>
  <c r="M40" i="6" s="1"/>
  <c r="J30" i="6"/>
  <c r="M30" i="6" s="1"/>
  <c r="J106" i="6"/>
  <c r="M106" i="6" s="1"/>
  <c r="J120" i="6"/>
  <c r="M120" i="6" s="1"/>
  <c r="J121" i="6"/>
  <c r="M121" i="6" s="1"/>
  <c r="J59" i="6"/>
  <c r="M59" i="6" s="1"/>
  <c r="J86" i="6"/>
  <c r="M86" i="6" s="1"/>
  <c r="J110" i="6"/>
  <c r="M110" i="6" s="1"/>
  <c r="J81" i="6"/>
  <c r="M81" i="6" s="1"/>
  <c r="J115" i="6"/>
  <c r="M115" i="6" s="1"/>
  <c r="J111" i="6"/>
  <c r="M111" i="6" s="1"/>
  <c r="J65" i="6"/>
  <c r="M65" i="6" s="1"/>
  <c r="J102" i="6"/>
  <c r="M102" i="6" s="1"/>
  <c r="J104" i="6"/>
  <c r="M104" i="6" s="1"/>
  <c r="J117" i="6"/>
  <c r="M117" i="6" s="1"/>
  <c r="J50" i="6"/>
  <c r="M50" i="6" s="1"/>
  <c r="J119" i="6"/>
  <c r="M119" i="6" s="1"/>
  <c r="J95" i="6"/>
  <c r="M95" i="6" s="1"/>
  <c r="J21" i="6"/>
  <c r="M21" i="6" s="1"/>
  <c r="J107" i="6"/>
  <c r="M107" i="6" s="1"/>
  <c r="J83" i="6"/>
  <c r="M83" i="6" s="1"/>
  <c r="J54" i="6"/>
  <c r="M54" i="6" s="1"/>
  <c r="J89" i="6"/>
  <c r="M89" i="6" s="1"/>
  <c r="J113" i="6"/>
  <c r="M113" i="6" s="1"/>
  <c r="J42" i="6"/>
  <c r="M42" i="6" s="1"/>
  <c r="J16" i="6"/>
  <c r="M16" i="6" s="1"/>
  <c r="J24" i="6"/>
  <c r="M24" i="6" s="1"/>
  <c r="J112" i="6"/>
  <c r="M112" i="6" s="1"/>
  <c r="J20" i="6"/>
  <c r="M20" i="6" s="1"/>
  <c r="J41" i="6"/>
  <c r="M41" i="6" s="1"/>
  <c r="J108" i="6"/>
  <c r="M108" i="6" s="1"/>
  <c r="J76" i="6"/>
  <c r="M76" i="6" s="1"/>
  <c r="J72" i="6"/>
  <c r="M72" i="6" s="1"/>
  <c r="J48" i="6"/>
  <c r="M48" i="6" s="1"/>
  <c r="J66" i="6"/>
  <c r="M66" i="6" s="1"/>
  <c r="J57" i="6"/>
  <c r="M57" i="6" s="1"/>
  <c r="J39" i="6"/>
  <c r="M39" i="6" s="1"/>
  <c r="J29" i="6"/>
  <c r="M29" i="6" s="1"/>
  <c r="J23" i="6"/>
  <c r="M23" i="6" s="1"/>
  <c r="J19" i="6"/>
  <c r="M19" i="6" s="1"/>
  <c r="M78" i="6" l="1"/>
  <c r="M92" i="6"/>
  <c r="M99" i="6"/>
  <c r="M126" i="6"/>
  <c r="M68" i="6"/>
  <c r="M61" i="6"/>
  <c r="M220" i="6" l="1"/>
  <c r="M222" i="6" s="1"/>
  <c r="M214" i="6"/>
  <c r="M215" i="6"/>
  <c r="M191" i="6"/>
  <c r="M207" i="6" l="1"/>
  <c r="M201" i="6"/>
  <c r="M217" i="6"/>
  <c r="M203" i="6"/>
  <c r="M205" i="6"/>
  <c r="M204" i="6"/>
  <c r="M200" i="6"/>
  <c r="M206" i="6"/>
  <c r="M202" i="6"/>
  <c r="M209" i="6" l="1"/>
  <c r="M22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Garðar Tyrfingsson</author>
  </authors>
  <commentList>
    <comment ref="E10" authorId="0" shapeId="0" xr:uid="{F70E18FE-C84B-4613-84EC-32BC636060EF}">
      <text>
        <r>
          <rPr>
            <sz val="9"/>
            <color indexed="81"/>
            <rFont val="Tahoma"/>
            <family val="2"/>
          </rPr>
          <t>Gjaldskrá Jan 2019
1.2. Skipulagsnefnd getur ákveðið að falla frá gjaldtöku ef skipulagsvinna á vegum sveitarfélagsins er yfirstandandi eða fyrirhuguð á svæðinu eða skipulagsáætlun þarfnast breytinga af öðrum ástæðum, enda hafi það ekki í för með sér viðbótarkostnað fyrir sveitarfélagið. Ef kostnaður vegna vinnu skipulagsfulltrúa eða aðkeyptrar vinnu er verulega umfram viðmiðunargjald, vegna umfangs verksins er heimilt að leggja á til viðbótar tímagjald skipulagsfulltrúa sem er​ ​22.213 kr​. án vsk, eða gjald skv. Reikningi.</t>
        </r>
      </text>
    </comment>
    <comment ref="E14" authorId="0" shapeId="0" xr:uid="{F8C34EED-7FA5-462D-ACC2-531395406A1A}">
      <text>
        <r>
          <rPr>
            <sz val="9"/>
            <color indexed="81"/>
            <rFont val="Tahoma"/>
            <family val="2"/>
          </rPr>
          <t>Gjaldskrá Jan. 2019
3. gr. Fyrir byggingarleyfi skal greiða eftirfarandi gjöld:
3.1. Byggingarleyfisgjald                                                                       hlutfall kr.
3.1.1. Einbýlishús                                                                                   85% 188.811
3.1.2. Par-, rað- og tvíbýlishús pr. íbúð                                                 65% 144.385
3.1.3. Fjölbýlishús, pr. íbúð                                                                   50% 111.065
3.1.4. Önnur hús, bílgeymslur og hvers konar viðbyggingar
 - viðbyggingar allt að 20 fermetrar                                                       25% 55.533
 - viðbyggingar frá 20-100 fermetrar                                                     45% 99.959
 - viðbyggingar stærri en 100 fermetrar                                                55% 122.172
3.1.5. Minniháttar breytingar (útliti, skipulagi)                                      10% 22.213
3.1.6. Meiriháttar breytingar (útliti, skipulagi)                                       25% 55.533
3.1.7. Frístundahús, eitt hús á lóð                                                        45% 99.959
3.1.8. Frístundahús með gestahúsi                                                       50% 111.065
3.1.9. Yfirferð sérteikninga skv. reikningi, hámark                                65% 144.385</t>
        </r>
      </text>
    </comment>
    <comment ref="E28" authorId="0" shapeId="0" xr:uid="{63DBC9E8-3372-440D-902E-FB5148132AE0}">
      <text>
        <r>
          <rPr>
            <sz val="9"/>
            <color indexed="81"/>
            <rFont val="Tahoma"/>
            <family val="2"/>
          </rPr>
          <t>Gjaldskrá Jan 2019
3.2. Gripahús                                                                   hlutfall kr.
3.2.1. Gólfflötur allt að 99 fermetrar                               12% 26.656
3.2.2. Gólfflötur 100-199 fermetrar                                30% 66.639
3.2.3. Gólfflötur 200-499 fermetrar                                55% 122.172
3.2.4. Gólfflötur 500-799 fermetrar                                125% 277.663
3.2.5. Gólfflötur 800-1.999 fermetrar                             180% 399.834
3.2.6. Gólfflötur 2.000-5.000 fermetrar                          260% 577.538
3.2.7. Gólfflötur stærri en 5.001 fermetri                        380% 844.094</t>
        </r>
      </text>
    </comment>
    <comment ref="E37" authorId="0" shapeId="0" xr:uid="{FCE4EED3-2AEC-4375-84F0-502220232A65}">
      <text>
        <r>
          <rPr>
            <sz val="9"/>
            <color indexed="81"/>
            <rFont val="Tahoma"/>
            <family val="2"/>
          </rPr>
          <t>Gjaldskrá Jan 2019
3.3. Óeinangraðar geymslur/hlöður og áþekk hús.                 hlutfall kr.
3.3.1. Gólfflötur að 99 fermetrum                                           8% 17.770
3.3.2. Gólfflötur 100-199 fermetrar                                        12% 26.656
3.3.3. Gólfflötur 200-499 fermetrar                                        20% 44.426
3.3.4. Gólfflötur 500-799 fermetrar                                        40% 88.852
3.3.5. Gólfflötur 800-1.999 fermetrar                                     120% 266.556
3.3.6. Gólfflötur frá 2.000 fermetrum og yfir                          185% 410.941</t>
        </r>
      </text>
    </comment>
    <comment ref="E45" authorId="0" shapeId="0" xr:uid="{719A179A-DE1A-4DDD-9985-7CFE34EC19F1}">
      <text>
        <r>
          <rPr>
            <sz val="9"/>
            <color indexed="81"/>
            <rFont val="Tahoma"/>
            <family val="2"/>
          </rPr>
          <t xml:space="preserve">Gjaldskrá jan 2019
3.4. Atvinnu- og þjónustuhús og stofnanir, húsnæði með íbúðum.     hlutfall kr.
3.4.1. Gólfflötur allt að 500 fermetrar                                         75% 166.598
3.4.2. Gólfflötur 500 til 1.000 fermetrar                                      130% 288.769
3.4.3. Gólfflötur 1.001 til 2.000 fermetrar                                   190% 422.047
3.4.4. Gólfflötur 2.001 til 5.000 fermetrar                                   280% 621.964
3.4.5. Gólfflötur 5.000 til 7.500 fermetrar                                   375% 832.988
3.4.6. Gólfflötur 7.500 fermetrar og yfir                                      500% 1.110.650
</t>
        </r>
      </text>
    </comment>
    <comment ref="E53" authorId="0" shapeId="0" xr:uid="{14272CE1-0153-473C-927E-FD517B8933AB}">
      <text>
        <r>
          <rPr>
            <sz val="9"/>
            <color indexed="81"/>
            <rFont val="Tahoma"/>
            <family val="2"/>
          </rPr>
          <t>Gjaldskrá jan 2019
3.5. Ýmis hús og hvers konar viðbyggingar                                  hlutfall kr.
3.5.1. Sólstofur, garðhús, bílageymslur fyrir mest                      
2 bíla, gripahús og viðbyggingar allt að 20 fermetra                    30% 66.6639
3.5.2. Viðbyggingar 20 til 100 fermetra                                       0,40% 889/m²</t>
        </r>
      </text>
    </comment>
    <comment ref="E56" authorId="0" shapeId="0" xr:uid="{B311F6AA-FF44-484A-A31B-D66CEB7F282B}">
      <text>
        <r>
          <rPr>
            <sz val="9"/>
            <color indexed="81"/>
            <rFont val="Tahoma"/>
            <family val="2"/>
          </rPr>
          <t>Gjaldskrá Jan 2019
3.6. Byggingarleyfisgjöld af viðbyggingum sem eru stærri en 100 fermetrar skulu vera þau sömu og byggingarleyfisgjöld af því húsnæði sem byggt er við.
3.6.1. Stöðuleyfi gáma, húsa, báta, hjólhýsa,
sumarhúsa o.fl. veitt til allt að eins árs                                                      12% 26.656
3.6.2. Stöðuleyfi söluvagna og söluskúra 1-6 mán.                                   25% 55.533
3.6.3. Stöðuleyfi söluvagna og söluskúra 7-12 mán.                                 40% 88.852</t>
        </r>
      </text>
    </comment>
    <comment ref="E63" authorId="0" shapeId="0" xr:uid="{5433F37B-2CBD-4B22-9116-6D9ABCD8641B}">
      <text>
        <r>
          <rPr>
            <sz val="9"/>
            <color indexed="81"/>
            <rFont val="Tahoma"/>
            <family val="2"/>
          </rPr>
          <t>Gjaldskrá Jan 2019
4. gr. 
Framkvæmdaleyfisgjald og gjald fyrir skipulagsvinnu, samanber 20. gr. skipulagslaga nr. 123/2010. Bæjarstjórn er heimilt að innheimta framkvæmdaleyfisgjald fyrir framkvæmdir sem afla þarf framkvæmdaleyfis fyrir, svo og fyrir eftirlit með framkvæmdaleyfisskyldum framkvæmdum. Gjaldið má ekki nema hærri upphæð en nemur kostnaði við undirbúning og útgáfu leyfisins og eftirlitsins, svo sem vegna nauðsynlegrar aðkeyptrar þjónustu. Sé þörf á að vinna skipulags-áætlun eða gera breytingu á henni vegna leyfisskyldra framkvæmda getur sveitarstjórn innheimt gjald fyrir skipulagsvinnu sem nauðsynleg
er vegna þeirrar framkvæmdar. Gjaldið skal ekki nema hærri upphæð en nemur kostnaði við skipulagsgerðina og kynningu og auglýsingu skipulagsáætlunar. Bæjarstjórn setur þessa gjaldskrá um innheimtu framkvæmdaleyfisgjalda, skv. 1. og 2. mgr. 20. gr. laganna. Lágmarksgjald framkvæmdaleyfis er hlutfallsprósenta af byggingarkostnaði pr. m² vísitöluhúss fjölbýlis
sbr. útreikning Hagstofu Íslands.
4.1. Framkvæmdagjald - framkvæmdir skv. 1. og 2. viðauka laga um mat á umhverfisáhrifum nr. 106/2000          75% 166.598
Framkvæmdaleyfi aðrar framkvæmdir                                                                                                                       40% 88.852
Eftirlit umfram það sem kemur fram í viðmiðunargjaldi                                                                                               15% 33.320
Innifalið í framkvæmdaleyfisgjaldi er kostnaður bæjarins vegna útgáfu og undirbúnings leyfisins og
eftirlitskynningu og niðurstöður, þar sem það á við.
Framkvæmdaleyfisgjald samkvæmt gjaldskrá þessari skal greiða við veitingu framkvæmdaleyfis. Vinna við skipulagsáætlun er háð umfangi við vinnuna. Skal leita upplýsinga um kostnaðinn og hann kynntur þeim aðila sem biður um skipulagsbreytinguna, hvort sem er deiliskipulags- eða aðalskipulagsbreyting. Kostnaðurinn nái til alls umfangs við breytinguna og auglýsinga við kynningu og niðurstöður, þar sem það á við.</t>
        </r>
      </text>
    </comment>
    <comment ref="E70" authorId="0" shapeId="0" xr:uid="{B175F8FE-F44B-4EC6-825F-7F2A800CA6DA}">
      <text>
        <r>
          <rPr>
            <sz val="9"/>
            <color indexed="81"/>
            <rFont val="Tahoma"/>
            <family val="2"/>
          </rPr>
          <t>Gjaldskrá Jan 2019
5. gr.
Gjöld skv. skipulagslögum nr. 123/2010.
Afgreiðslugjald skv. 20. gr. skipulagslaga er greitt við móttöku umsóknar um byggingarleyfi, framkvæmdaleyfi og skipulagsbreytingar. Í gjaldinu felst kostnaður sveitarfélagsins við móttöku og yfirferð erindisins. Gjaldið er ekki endurkræft þótt umsókn sé dregin til baka eða synjað. Umsýslu- og auglýsingakostnaður; kostnaður sveitarfélagsins við afgreiðslu umsóknar, birtingar auglýsinga og annarrar umsýslu.
Breytingarkostnaður; kostnaður sem fellur til innan sveitarfélagsins við gerð nýs deiliskipulags eða breytingar á gildandi aðal- eða deiliskipulagsuppdráttum.</t>
        </r>
      </text>
    </comment>
    <comment ref="E71" authorId="0" shapeId="0" xr:uid="{EC75AF9E-62D5-4BF4-BD9C-7FFD373D6826}">
      <text>
        <r>
          <rPr>
            <sz val="9"/>
            <color indexed="81"/>
            <rFont val="Tahoma"/>
            <family val="2"/>
          </rPr>
          <t>Gjaldskrá Jan 2019
5.1. Kostnaður vegna aðalskipulagsbreytinga                                                                 hlutfall kr.
Afgreiðslugjald.                                                                                                                7% 15.549
Breytingar á aðalskipulagsuppdrætti, sbr. 36. gr.                                                           aðkeypt vinna skv. reikningi
Umsýslu- og auglýsingakostnaður, sbr. 1. mgr. 36. gr.                                                   75% 166.598
Umsýslu- og auglýsingakostnaður, sbr. 2. mgr. 36. gr.                                                   30% 66.639
Breyting á aðalskipulagsuppdrætti, sbr. 2. mgr. 36. gr. v. óv. Br.                                  50% 111.065</t>
        </r>
      </text>
    </comment>
    <comment ref="E80" authorId="0" shapeId="0" xr:uid="{C47876D3-EA18-4F10-9C40-EEFE4B2C433C}">
      <text>
        <r>
          <rPr>
            <sz val="9"/>
            <color indexed="81"/>
            <rFont val="Tahoma"/>
            <family val="2"/>
          </rPr>
          <t>Gjaldskrá Jan 2019
5.2. Kostnaður vegna deiliskipulags​.                                                           hlutfall kr.
Afgreiðslugjald                                                                                            7% 15.549
Nýtt deiliskipulag, sbr. 2. mgr. 38. gr.                                                        aðkeypt vinna skv. reikningi
Umsýslu- og auglýsingakostnaður, sbr. 2. mgr. 38. gr.                             75% 166.598
Verulegar breytingar
Breyting á deiliskipulagsuppdrætti, sbr. 1. mgr. 43. gr.                              aðkeypt vinna skv. reikningi
Umsýslu- og auglýsingakostnaður v. óv. br. sbr. 1. mgr. 43. gr.                75% 166.598
Óverulegar breytingar
Breyting á deiliskipulagsuppdrætti, sbr. 2. mgr. 43. gr. v. óv. br.               50% 111.065
Umsýslu- og auglýsingakostnaður v. óv. br. sbr. 2. mgr. 43. gr.                 30% 66.639
Umsýslu- og auglýsingakostnaður v. óv. br. sbr. 3. mgr. 44. gr.                 13% 28.877</t>
        </r>
      </text>
    </comment>
    <comment ref="E94" authorId="0" shapeId="0" xr:uid="{AB8BB552-F69E-468A-B329-A9DA89AD7665}">
      <text>
        <r>
          <rPr>
            <sz val="9"/>
            <color indexed="81"/>
            <rFont val="Tahoma"/>
            <family val="2"/>
          </rPr>
          <t>Gjaldskrá Jan 2019
5.3. Grenndarkynning
Grenndarkynning, sbr. 1. mgr. 44. gr., deiliskipulag ekki fyrir hendi                   15% 33.320
Grenndarkynning, sbr. 44. gr. fyrir byggingarleyfisumsókn                                10% 22.213
Við grenndarkynningu er heimilt er að innheimta aukagjald samkvæmt tímagjaldi skipulagsfulltrúa fyrir
vinnu umfram það meðalgjald sem kynnt er.</t>
        </r>
      </text>
    </comment>
    <comment ref="E101" authorId="0" shapeId="0" xr:uid="{F5330BFC-A53D-4B96-8F34-E62D271BA6CE}">
      <text>
        <r>
          <rPr>
            <sz val="9"/>
            <color indexed="81"/>
            <rFont val="Tahoma"/>
            <family val="2"/>
          </rPr>
          <t>Gjaldskrá Jan 2019
5.4. Afgreiðslu- og þjónustugjöld.
5.4.1. Staðfestingargjald vegna lóðaúthlutunar (óafturkræft)                                            20% 44.426
5.4.2. Yfirferð aðal- og séruppdrátta                                                                                   10% 22.213
5.4.3. Hver endurskoðaður aðaluppdráttur                                                                          7% 15.549
5.4.4. Vottorð um byggingarstig og stöðuúttekt                                                                  10% 22.213
5.4.5. Endurnýjun leyfis án breytinga                                                                                  5% 11.107
5.4.6. Úttekt vegna vín- og veitingaleyfa                                                                            5% 11.107
5.4.7. Eignaskiptayfirlýsing, eignarhlutar 2-10, hver umfjöllun pr. eignarhluta                   5% 11.107
5.4.8. Eignaskiptayfirlýsing, 10 og yfir hver umfjöllun pr. eignarhl.                                     3% 6.664
5.4.9. Lóðarsamningur nýrrar lóðar                                                                                      23% 51.090
5.4.10. Breytingar á lóðarsamningi                                                                                       10% 22.213
5.4.11. Gjald f. útkall þegar verk reynist ekki úttektarhæft                                                 5% 11.107
5.4.12. Gjald f. önnur útköll s.s. vettvangsskoðun og mælingar                                          5% 11.107
5.4.13. Stöðuleyfi árgj. greiðist einu sinni á ári                                                                     25% 55.533
5.4.14. Afgreiðslugjald nefndar                                                                                             3% 6.664
5.4.15. Fyrir afhendingu grunnganga fyrir skipulagsvinnu                                                    5% 11.107
5.4.16. Fyrir umsýslu v/breytingar á deiliskipulagi sbr. 2. mgr. 43. gr.                                 5% 11.107
5.4.17. Fyrir umsýslu á deiliskipulagi skv. 43. gr.                                                                  20% 44.426
5.4.18. Úttekt á leiguhúsnæði                                                                                               15% 33.320
5.4.19. Úttekt, leyfi og umsagnir vegna gistileyfa                                                                15% 33.320
5.4.20. Ástandsskoðun húss                                                                                                 5% 11.107
5.4.21. Útsetning húss                                                                                                          15% 33.320
Hlutfall samkvæmt þessum lið er hlutfallsprósenta af byggingarkostnaði pr. fermetra vísitöluhúss fjölbýlis sbr. útreikning Hagstofu Íslands. Þjónustugjöld samkvæmt gjaldskrá þessari skal staðgreiða. Greiða skal fyrir þjónustu og leyfisveitingu sem byggingarfulltrúi veitir umfram þá sem innifalin er í byggingarleyfisgjaldi. Fyrir þjónustu/afgreiðslu skjala og teikninga vegna ljósritunar og útprentunar í A1, A2, A3, A4 skal greiða samkvæmt kostnaði.</t>
        </r>
      </text>
    </comment>
    <comment ref="E131" authorId="0" shapeId="0" xr:uid="{7C2C9386-B7E4-4D29-8356-19DE0C1A1B71}">
      <text>
        <r>
          <rPr>
            <sz val="9"/>
            <color indexed="81"/>
            <rFont val="Tahoma"/>
            <family val="2"/>
          </rPr>
          <t>B. Gatnagerðargjöld úr Gjaldskrá 2004
3. gr II)
Gatnagerðargjald er reiknað út frá eftirfarandi forsendum: m2 er margfeldi af lóðarstærð og hámarksnýtingarhlutfalli lóðar og byggingarkostnaði vísitöluhúss eins og hann er samkvæmt útreikningum frá Hagstofu Íslands, hverju sinni.
Byggingarkostnaður vísitöluhúss í apríl 2004 er: 91.159,09 kr./m2 og 30.771,00 kr./m3.
Hámarks- og lágmarksgjöld taka breytingum miðað við byggingarvísitölu. Byggingarvísitala 1. apríl 2004 er 292,2 stig.</t>
        </r>
      </text>
    </comment>
    <comment ref="E143" authorId="0" shapeId="0" xr:uid="{DED2B52D-3AAE-4168-B2CB-DFC1AA7652F9}">
      <text>
        <r>
          <rPr>
            <sz val="9"/>
            <color indexed="81"/>
            <rFont val="Tahoma"/>
            <family val="2"/>
          </rPr>
          <t>B. Gatnagerðargjöld úr Gjaldskrá 2004
3. gr II)
Gatnagerðargjald er reiknað út frá eftirfarandi forsendum: m2 er margfeldi af lóðarstærð og hámarksnýtingarhlutfalli lóðar og byggingarkostnaði vísitöluhúss eins og hann er samkvæmt útreikningum frá Hagstofu Íslands, hverju sinni.
Byggingarkostnaður vísitöluhúss í apríl 2004 er: 91.159,09 kr./m2 og 30.771,00 kr./m3.
Hámarks- og lágmarksgjöld taka breytingum miðað við byggingarvísitölu. Byggingarvísitala 1. apríl 2004 er 292,2 stig.</t>
        </r>
      </text>
    </comment>
    <comment ref="E164" authorId="0" shapeId="0" xr:uid="{147295CA-17A2-4896-85B2-A8928F1908A6}">
      <text>
        <r>
          <rPr>
            <sz val="9"/>
            <color indexed="81"/>
            <rFont val="Tahoma"/>
            <family val="2"/>
          </rPr>
          <t>C. Um stofngjald holræsa.
18. gr.
Stofngjald fráveitu (holræsa) skal innheimta af öllum fasteignum sem tengdar eru við fráveitu í eigu Sveitarfélagsins Ölfuss. Stofngjald holræsa byggir á ákvæðum X. kafla vatnalaga nr. 15/1923. Gjaldið skal álagt og innheimt við veitingu byggingarleyfis og vera sem hér segir:
I Tegund byggingar Grunngjald, kr. m3-gjald, kr. Athugasemdir
A Íbúðarhúsnæði, verslun og þjónusta
30.000                                102 m³-gjald af m³ umfram 700 m3
B Iðnaðar- og atvinnuhúsnæði
40.000                                102 m³-gjald af m³ umfram 1000 m3
19. gr.
Stofngjald fráveitu skal endurgreitt með sama hætti og gatnagerðargjald. Endurgreiðslu tengigjalds fráveitu er heimilt að fresta þar til lóð er úthlutað að nýju, en þó ekki lengur en í 6 mánuði frá afturköllun eða niðurfellingu byggingarleyfis.</t>
        </r>
      </text>
    </comment>
    <comment ref="E165" authorId="0" shapeId="0" xr:uid="{95514EB2-37EF-42CC-8EDE-A1B7F85D08C1}">
      <text>
        <r>
          <rPr>
            <sz val="9"/>
            <color indexed="81"/>
            <rFont val="Tahoma"/>
            <family val="2"/>
          </rPr>
          <t>Reikna skal rúmmetra þess hús sem rukkað er fyrir.
Mesta rúmmál: Nýtingarhlutfall * Lóðarstærð * Meðalhæð húss 
Dæmi, Pálsbúð 5: 0,34 * 938,5 m2 * 3 m (Ágiskun) = 957 m3
       Rúmmetragjald: 249 kr/m3 x (957m3 - 700m3) = 34.515 kr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Garðar Tyrfingsson</author>
  </authors>
  <commentList>
    <comment ref="B6" authorId="0" shapeId="0" xr:uid="{50966444-C489-4495-B236-1BAB25E6BAF8}">
      <text>
        <r>
          <rPr>
            <b/>
            <sz val="9"/>
            <color indexed="81"/>
            <rFont val="Tahoma"/>
            <family val="2"/>
          </rPr>
          <t>Aðeins skal uppfæra fyrir janúar ár hvert</t>
        </r>
      </text>
    </comment>
    <comment ref="B7" authorId="0" shapeId="0" xr:uid="{51E050DB-4E17-409A-B566-47CE328D6CB0}">
      <text>
        <r>
          <rPr>
            <b/>
            <sz val="9"/>
            <color indexed="81"/>
            <rFont val="Tahoma"/>
            <family val="2"/>
          </rPr>
          <t>Skal uppfærast mánaðarlega</t>
        </r>
      </text>
    </comment>
    <comment ref="B8" authorId="0" shapeId="0" xr:uid="{94076335-0FE3-4AC9-B6F4-2077F422B209}">
      <text>
        <r>
          <rPr>
            <b/>
            <sz val="9"/>
            <color indexed="81"/>
            <rFont val="Tahoma"/>
            <family val="2"/>
          </rPr>
          <t xml:space="preserve">Skal uppfæra mánaðarlega
Ath. ekki skráð lengur </t>
        </r>
      </text>
    </comment>
    <comment ref="B9" authorId="0" shapeId="0" xr:uid="{F7B954DE-38B3-47F8-BB26-5B3E26E87528}">
      <text>
        <r>
          <rPr>
            <b/>
            <sz val="9"/>
            <color indexed="81"/>
            <rFont val="Tahoma"/>
            <family val="2"/>
          </rPr>
          <t>Skal uppfæra mánaðarlega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Garðar Tyrfingsson</author>
  </authors>
  <commentList>
    <comment ref="E10" authorId="0" shapeId="0" xr:uid="{FA7C3EC7-5894-45F0-B4BD-A4710CA22D66}">
      <text>
        <r>
          <rPr>
            <sz val="9"/>
            <color indexed="81"/>
            <rFont val="Tahoma"/>
            <family val="2"/>
          </rPr>
          <t>Gjaldskrá Jan 2019
1.2. Skipulagsnefnd getur ákveðið að falla frá gjaldtöku ef skipulagsvinna á vegum sveitarfélagsins er yfirstandandi eða fyrirhuguð á svæðinu eða skipulagsáætlun þarfnast breytinga af öðrum ástæðum, enda hafi það ekki í för með sér viðbótarkostnað fyrir sveitarfélagið. Ef kostnaður vegna vinnu skipulagsfulltrúa eða aðkeyptrar vinnu er verulega umfram viðmiðunargjald, vegna umfangs verksins er heimilt að leggja á til viðbótar tímagjald skipulagsfulltrúa sem er​ ​22.213 kr​. án vsk, eða gjald skv. Reikningi.</t>
        </r>
      </text>
    </comment>
    <comment ref="E15" authorId="0" shapeId="0" xr:uid="{FE202AA9-1FFE-47F3-AF6C-CFF0E1E6E07A}">
      <text>
        <r>
          <rPr>
            <sz val="9"/>
            <color indexed="81"/>
            <rFont val="Tahoma"/>
            <family val="2"/>
          </rPr>
          <t>Gjaldskrá Jan. 2019
3. gr. Fyrir byggingarleyfi skal greiða eftirfarandi gjöld:
3.1. Byggingarleyfisgjald                                                                       hlutfall kr.
3.1.1. Einbýlishús                                                                                   85% 188.811
3.1.2. Par-, rað- og tvíbýlishús pr. íbúð                                                 65% 144.385
3.1.3. Fjölbýlishús, pr. íbúð                                                                   50% 111.065
3.1.4. Önnur hús, bílgeymslur og hvers konar viðbyggingar
 - viðbyggingar allt að 20 fermetrar                                                       25% 55.533
 - viðbyggingar frá 20-100 fermetrar                                                     45% 99.959
 - viðbyggingar stærri en 100 fermetrar                                                55% 122.172
3.1.5. Minniháttar breytingar (útliti, skipulagi)                                      10% 22.213
3.1.6. Meiriháttar breytingar (útliti, skipulagi)                                       25% 55.533
3.1.7. Frístundahús, eitt hús á lóð                                                        45% 99.959
3.1.8. Frístundahús með gestahúsi                                                       50% 111.065
3.1.9. Yfirferð sérteikninga skv. reikningi, hámark                                65% 144.385</t>
        </r>
      </text>
    </comment>
    <comment ref="E32" authorId="0" shapeId="0" xr:uid="{CC70DFF2-DCA5-46D5-B56C-97FB4008BCE7}">
      <text>
        <r>
          <rPr>
            <sz val="9"/>
            <color indexed="81"/>
            <rFont val="Tahoma"/>
            <family val="2"/>
          </rPr>
          <t>Gjaldskrá Jan 2019
4. gr. 
Framkvæmdaleyfisgjald og gjald fyrir skipulagsvinnu, samanber 20. gr. skipulagslaga nr. 123/2010. Bæjarstjórn er heimilt að innheimta framkvæmdaleyfisgjald fyrir framkvæmdir sem afla þarf framkvæmdaleyfis fyrir, svo og fyrir eftirlit með framkvæmdaleyfisskyldum framkvæmdum. Gjaldið má ekki nema hærri upphæð en nemur kostnaði við undirbúning og útgáfu leyfisins og eftirlitsins, svo sem vegna nauðsynlegrar aðkeyptrar þjónustu. Sé þörf á að vinna skipulags-áætlun eða gera breytingu á henni vegna leyfisskyldra framkvæmda getur sveitarstjórn innheimt gjald fyrir skipulagsvinnu sem nauðsynleg
er vegna þeirrar framkvæmdar. Gjaldið skal ekki nema hærri upphæð en nemur kostnaði við skipulagsgerðina og kynningu og auglýsingu skipulagsáætlunar. Bæjarstjórn setur þessa gjaldskrá um innheimtu framkvæmdaleyfisgjalda, skv. 1. og 2. mgr. 20. gr. laganna. Lágmarksgjald framkvæmdaleyfis er hlutfallsprósenta af byggingarkostnaði pr. m² vísitöluhúss fjölbýlis
sbr. útreikning Hagstofu Íslands.
4.1. Framkvæmdagjald - framkvæmdir skv. 1. og 2. viðauka laga um mat á umhverfisáhrifum nr. 106/2000          75% 166.598
Framkvæmdaleyfi aðrar framkvæmdir                                                                                                                       40% 88.852
Eftirlit umfram það sem kemur fram í viðmiðunargjaldi                                                                                               15% 33.320
Innifalið í framkvæmdaleyfisgjaldi er kostnaður bæjarins vegna útgáfu og undirbúnings leyfisins og
eftirlitskynningu og niðurstöður, þar sem það á við.
Framkvæmdaleyfisgjald samkvæmt gjaldskrá þessari skal greiða við veitingu framkvæmdaleyfis. Vinna við skipulagsáætlun er háð umfangi við vinnuna. Skal leita upplýsinga um kostnaðinn og hann kynntur þeim aðila sem biður um skipulagsbreytinguna, hvort sem er deiliskipulags- eða aðalskipulagsbreyting. Kostnaðurinn nái til alls umfangs við breytinguna og auglýsinga við kynningu og niðurstöður, þar sem það á við.</t>
        </r>
      </text>
    </comment>
    <comment ref="E40" authorId="0" shapeId="0" xr:uid="{BACB92DD-DDC9-45FD-B94A-09390DF9F8B5}">
      <text>
        <r>
          <rPr>
            <sz val="9"/>
            <color indexed="81"/>
            <rFont val="Tahoma"/>
            <family val="2"/>
          </rPr>
          <t>B. Gatnagerðargjöld úr Gjaldskrá 2004
3. gr II)
Gatnagerðargjald er reiknað út frá eftirfarandi forsendum: m2 er margfeldi af lóðarstærð og hámarksnýtingarhlutfalli lóðar og byggingarkostnaði vísitöluhúss eins og hann er samkvæmt útreikningum frá Hagstofu Íslands, hverju sinni.
Byggingarkostnaður vísitöluhúss í apríl 2004 er: 91.159,09 kr./m2 og 30.771,00 kr./m3.
Hámarks- og lágmarksgjöld taka breytingum miðað við byggingarvísitölu. Byggingarvísitala 1. apríl 2004 er 292,2 stig.</t>
        </r>
      </text>
    </comment>
    <comment ref="E53" authorId="0" shapeId="0" xr:uid="{4E887FBB-40ED-4C0C-B400-5E0D534BF8EA}">
      <text>
        <r>
          <rPr>
            <sz val="9"/>
            <color indexed="81"/>
            <rFont val="Tahoma"/>
            <family val="2"/>
          </rPr>
          <t>C. Um stofngjald holræsa.
18. gr.
Stofngjald fráveitu (holræsa) skal innheimta af öllum fasteignum sem tengdar eru við fráveitu í eigu Sveitarfélagsins Ölfuss. Stofngjald holræsa byggir á ákvæðum X. kafla vatnalaga nr. 15/1923. Gjaldið skal álagt og innheimt við veitingu byggingarleyfis og vera sem hér segir:
I Tegund byggingar Grunngjald, kr. m3-gjald, kr. Athugasemdir
A Íbúðarhúsnæði, verslun og þjónusta
30.000                                102 m³-gjald af m³ umfram 700 m3
B Iðnaðar- og atvinnuhúsnæði
40.000                                102 m³-gjald af m³ umfram 1000 m3
19. gr.
Stofngjald fráveitu skal endurgreitt með sama hætti og gatnagerðargjald. Endurgreiðslu tengigjalds fráveitu er heimilt að fresta þar til lóð er úthlutað að nýju, en þó ekki lengur en í 6 mánuði frá afturköllun eða niðurfellingu byggingarleyfis.</t>
        </r>
      </text>
    </comment>
    <comment ref="E54" authorId="0" shapeId="0" xr:uid="{1D05CE4C-114A-4143-AAF5-04A0DCC331E7}">
      <text>
        <r>
          <rPr>
            <sz val="9"/>
            <color indexed="81"/>
            <rFont val="Tahoma"/>
            <family val="2"/>
          </rPr>
          <t>Reikna skal rúmmetra þess hús sem rukkað er fyrir.
Mesta rúmmál: Nýtingarhlutfall * Lóðarstærð * Meðalhæð húss 
Dæmi, Pálsbúð 5: 0,34 * 938,5 m2 * 3 m (Ágiskun) = 957 m3
       Rúmmetragjald: 249 kr/m3 x (957m3 - 700m3) = 34.515 kr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Garðar Tyrfingsson</author>
  </authors>
  <commentList>
    <comment ref="E10" authorId="0" shapeId="0" xr:uid="{8C7B031B-E647-411E-AA19-0B9DD6FE68B1}">
      <text>
        <r>
          <rPr>
            <sz val="9"/>
            <color indexed="81"/>
            <rFont val="Tahoma"/>
            <family val="2"/>
          </rPr>
          <t>Gjaldskrá Jan 2019
1.2. Skipulagsnefnd getur ákveðið að falla frá gjaldtöku ef skipulagsvinna á vegum sveitarfélagsins er yfirstandandi eða fyrirhuguð á svæðinu eða skipulagsáætlun þarfnast breytinga af öðrum ástæðum, enda hafi það ekki í för með sér viðbótarkostnað fyrir sveitarfélagið. Ef kostnaður vegna vinnu skipulagsfulltrúa eða aðkeyptrar vinnu er verulega umfram viðmiðunargjald, vegna umfangs verksins er heimilt að leggja á til viðbótar tímagjald skipulagsfulltrúa sem er​ ​22.213 kr​. án vsk, eða gjald skv. Reikningi.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Garðar Tyrfingsson</author>
  </authors>
  <commentList>
    <comment ref="E10" authorId="0" shapeId="0" xr:uid="{B3900E80-6730-46BE-B41E-2F890528497E}">
      <text>
        <r>
          <rPr>
            <sz val="9"/>
            <color indexed="81"/>
            <rFont val="Tahoma"/>
            <family val="2"/>
          </rPr>
          <t>Gjaldskrá Jan. 2019
3. gr. Fyrir byggingarleyfi skal greiða eftirfarandi gjöld:
3.1. Byggingarleyfisgjald                                                                       hlutfall kr.
3.1.1. Einbýlishús                                                                                   85% 188.811
3.1.2. Par-, rað- og tvíbýlishús pr. íbúð                                                 65% 144.385
3.1.3. Fjölbýlishús, pr. íbúð                                                                   50% 111.065
3.1.4. Önnur hús, bílgeymslur og hvers konar viðbyggingar
 - viðbyggingar allt að 20 fermetrar                                                       25% 55.533
 - viðbyggingar frá 20-100 fermetrar                                                     45% 99.959
 - viðbyggingar stærri en 100 fermetrar                                                55% 122.172
3.1.5. Minniháttar breytingar (útliti, skipulagi)                                      10% 22.213
3.1.6. Meiriháttar breytingar (útliti, skipulagi)                                       25% 55.533
3.1.7. Frístundahús, eitt hús á lóð                                                        45% 99.959
3.1.8. Frístundahús með gestahúsi                                                       50% 111.065
3.1.9. Yfirferð sérteikninga skv. reikningi, hámark                                65% 144.385</t>
        </r>
      </text>
    </comment>
    <comment ref="E24" authorId="0" shapeId="0" xr:uid="{9A57688C-09BA-435C-B50E-7E538D2956D5}">
      <text>
        <r>
          <rPr>
            <sz val="9"/>
            <color indexed="81"/>
            <rFont val="Tahoma"/>
            <family val="2"/>
          </rPr>
          <t>Gjaldskrá Jan 2019
3.2. Gripahús                                                                   hlutfall kr.
3.2.1. Gólfflötur allt að 99 fermetrar                               12% 26.656
3.2.2. Gólfflötur 100-199 fermetrar                                30% 66.639
3.2.3. Gólfflötur 200-499 fermetrar                                55% 122.172
3.2.4. Gólfflötur 500-799 fermetrar                                125% 277.663
3.2.5. Gólfflötur 800-1.999 fermetrar                             180% 399.834
3.2.6. Gólfflötur 2.000-5.000 fermetrar                          260% 577.538
3.2.7. Gólfflötur stærri en 5.001 fermetri                        380% 844.094</t>
        </r>
      </text>
    </comment>
    <comment ref="E33" authorId="0" shapeId="0" xr:uid="{22AF12A2-8671-4F30-833B-B330BC71AD1F}">
      <text>
        <r>
          <rPr>
            <sz val="9"/>
            <color indexed="81"/>
            <rFont val="Tahoma"/>
            <family val="2"/>
          </rPr>
          <t>Gjaldskrá Jan 2019
3.3. Óeinangraðar geymslur/hlöður og áþekk hús.                 hlutfall kr.
3.3.1. Gólfflötur að 99 fermetrum                                           8% 17.770
3.3.2. Gólfflötur 100-199 fermetrar                                        12% 26.656
3.3.3. Gólfflötur 200-499 fermetrar                                        20% 44.426
3.3.4. Gólfflötur 500-799 fermetrar                                        40% 88.852
3.3.5. Gólfflötur 800-1.999 fermetrar                                     120% 266.556
3.3.6. Gólfflötur frá 2.000 fermetrum og yfir                          185% 410.941</t>
        </r>
      </text>
    </comment>
    <comment ref="E41" authorId="0" shapeId="0" xr:uid="{1B14A56F-140E-4511-911E-1938B802F2F9}">
      <text>
        <r>
          <rPr>
            <sz val="9"/>
            <color indexed="81"/>
            <rFont val="Tahoma"/>
            <family val="2"/>
          </rPr>
          <t xml:space="preserve">Gjaldskrá jan 2019
3.4. Atvinnu- og þjónustuhús og stofnanir, húsnæði með íbúðum.     hlutfall kr.
3.4.1. Gólfflötur allt að 500 fermetrar                                         75% 166.598
3.4.2. Gólfflötur 500 til 1.000 fermetrar                                      130% 288.769
3.4.3. Gólfflötur 1.001 til 2.000 fermetrar                                   190% 422.047
3.4.4. Gólfflötur 2.001 til 5.000 fermetrar                                   280% 621.964
3.4.5. Gólfflötur 5.000 til 7.500 fermetrar                                   375% 832.988
3.4.6. Gólfflötur 7.500 fermetrar og yfir                                      500% 1.110.650
</t>
        </r>
      </text>
    </comment>
    <comment ref="E49" authorId="0" shapeId="0" xr:uid="{53F3E5E4-396F-4C15-B31A-9A8F224E1672}">
      <text>
        <r>
          <rPr>
            <sz val="9"/>
            <color indexed="81"/>
            <rFont val="Tahoma"/>
            <family val="2"/>
          </rPr>
          <t>Gjaldskrá jan 2019
3.5. Ýmis hús og hvers konar viðbyggingar                                  hlutfall kr.
3.5.1. Sólstofur, garðhús, bílageymslur fyrir mest                      
2 bíla, gripahús og viðbyggingar allt að 20 fermetra                    30% 66.6639
3.5.2. Viðbyggingar 20 til 100 fermetra                                       0,40% 889/m²</t>
        </r>
      </text>
    </comment>
    <comment ref="E52" authorId="0" shapeId="0" xr:uid="{65FB6272-217C-44B0-996F-CF50BD4CDA28}">
      <text>
        <r>
          <rPr>
            <sz val="9"/>
            <color indexed="81"/>
            <rFont val="Tahoma"/>
            <family val="2"/>
          </rPr>
          <t>Gjaldskrá Jan 2019
3.6. Byggingarleyfisgjöld af viðbyggingum sem eru stærri en 100 fermetrar skulu vera þau sömu og byggingarleyfisgjöld af því húsnæði sem byggt er við.
3.6.1. Stöðuleyfi gáma, húsa, báta, hjólhýsa,
sumarhúsa o.fl. veitt til allt að eins árs                                                      12% 26.656
3.6.2. Stöðuleyfi söluvagna og söluskúra 1-6 mán.                                   25% 55.533
3.6.3. Stöðuleyfi söluvagna og söluskúra 7-12 mán.                                 40% 88.852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Garðar Tyrfingsson</author>
  </authors>
  <commentList>
    <comment ref="E10" authorId="0" shapeId="0" xr:uid="{DB056DC5-5E59-481A-8846-B5F2F40E715F}">
      <text>
        <r>
          <rPr>
            <sz val="9"/>
            <color indexed="81"/>
            <rFont val="Tahoma"/>
            <family val="2"/>
          </rPr>
          <t>Gjaldskrá Jan 2019
4. gr. 
Framkvæmdaleyfisgjald og gjald fyrir skipulagsvinnu, samanber 20. gr. skipulagslaga nr. 123/2010. Bæjarstjórn er heimilt að innheimta framkvæmdaleyfisgjald fyrir framkvæmdir sem afla þarf framkvæmdaleyfis fyrir, svo og fyrir eftirlit með framkvæmdaleyfisskyldum framkvæmdum. Gjaldið má ekki nema hærri upphæð en nemur kostnaði við undirbúning og útgáfu leyfisins og eftirlitsins, svo sem vegna nauðsynlegrar aðkeyptrar þjónustu. Sé þörf á að vinna skipulags-áætlun eða gera breytingu á henni vegna leyfisskyldra framkvæmda getur sveitarstjórn innheimt gjald fyrir skipulagsvinnu sem nauðsynleg
er vegna þeirrar framkvæmdar. Gjaldið skal ekki nema hærri upphæð en nemur kostnaði við skipulagsgerðina og kynningu og auglýsingu skipulagsáætlunar. Bæjarstjórn setur þessa gjaldskrá um innheimtu framkvæmdaleyfisgjalda, skv. 1. og 2. mgr. 20. gr. laganna. Lágmarksgjald framkvæmdaleyfis er hlutfallsprósenta af byggingarkostnaði pr. m² vísitöluhúss fjölbýlis
sbr. útreikning Hagstofu Íslands.
4.1. Framkvæmdagjald - framkvæmdir skv. 1. og 2. viðauka laga um mat á umhverfisáhrifum nr. 106/2000          75% 166.598
Framkvæmdaleyfi aðrar framkvæmdir                                                                                                                       40% 88.852
Eftirlit umfram það sem kemur fram í viðmiðunargjaldi                                                                                               15% 33.320
Innifalið í framkvæmdaleyfisgjaldi er kostnaður bæjarins vegna útgáfu og undirbúnings leyfisins og
eftirlitskynningu og niðurstöður, þar sem það á við.
Framkvæmdaleyfisgjald samkvæmt gjaldskrá þessari skal greiða við veitingu framkvæmdaleyfis. Vinna við skipulagsáætlun er háð umfangi við vinnuna. Skal leita upplýsinga um kostnaðinn og hann kynntur þeim aðila sem biður um skipulagsbreytinguna, hvort sem er deiliskipulags- eða aðalskipulagsbreyting. Kostnaðurinn nái til alls umfangs við breytinguna og auglýsinga við kynningu og niðurstöður, þar sem það á við.</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Garðar Tyrfingsson</author>
  </authors>
  <commentList>
    <comment ref="E10" authorId="0" shapeId="0" xr:uid="{ADB19B8D-8EDB-426B-834A-2BEAA5B648C6}">
      <text>
        <r>
          <rPr>
            <sz val="9"/>
            <color indexed="81"/>
            <rFont val="Tahoma"/>
            <family val="2"/>
          </rPr>
          <t>Gjaldskrá Jan 2019
5. gr.
Gjöld skv. skipulagslögum nr. 123/2010.
Afgreiðslugjald skv. 20. gr. skipulagslaga er greitt við móttöku umsóknar um byggingarleyfi, framkvæmdaleyfi og skipulagsbreytingar. Í gjaldinu felst kostnaður sveitarfélagsins við móttöku og yfirferð erindisins. Gjaldið er ekki endurkræft þótt umsókn sé dregin til baka eða synjað. Umsýslu- og auglýsingakostnaður; kostnaður sveitarfélagsins við afgreiðslu umsóknar, birtingar auglýsinga og annarrar umsýslu.
Breytingarkostnaður; kostnaður sem fellur til innan sveitarfélagsins við gerð nýs deiliskipulags eða breytingar á gildandi aðal- eða deiliskipulagsuppdráttum.</t>
        </r>
      </text>
    </comment>
    <comment ref="E11" authorId="0" shapeId="0" xr:uid="{5CAB799F-CF4E-495B-8D18-1B6DD0BEA09E}">
      <text>
        <r>
          <rPr>
            <sz val="9"/>
            <color indexed="81"/>
            <rFont val="Tahoma"/>
            <family val="2"/>
          </rPr>
          <t>Gjaldskrá Jan 2019
5.1. Kostnaður vegna aðalskipulagsbreytinga                                                                 hlutfall kr.
Afgreiðslugjald.                                                                                                                7% 15.549
Breytingar á aðalskipulagsuppdrætti, sbr. 36. gr.                                                           aðkeypt vinna skv. reikningi
Umsýslu- og auglýsingakostnaður, sbr. 1. mgr. 36. gr.                                                   75% 166.598
Umsýslu- og auglýsingakostnaður, sbr. 2. mgr. 36. gr.                                                   30% 66.639
Breyting á aðalskipulagsuppdrætti, sbr. 2. mgr. 36. gr. v. óv. Br.                                  50% 111.065</t>
        </r>
      </text>
    </comment>
    <comment ref="E20" authorId="0" shapeId="0" xr:uid="{B059009E-72EB-4B02-ADF3-707A92A0C714}">
      <text>
        <r>
          <rPr>
            <sz val="9"/>
            <color indexed="81"/>
            <rFont val="Tahoma"/>
            <family val="2"/>
          </rPr>
          <t>Gjaldskrá Jan 2019
5.2. Kostnaður vegna deiliskipulags​.                                                           hlutfall kr.
Afgreiðslugjald                                                                                            7% 15.549
Nýtt deiliskipulag, sbr. 2. mgr. 38. gr.                                                        aðkeypt vinna skv. reikningi
Umsýslu- og auglýsingakostnaður, sbr. 2. mgr. 38. gr.                             75% 166.598
Verulegar breytingar
Breyting á deiliskipulagsuppdrætti, sbr. 1. mgr. 43. gr.                              aðkeypt vinna skv. reikningi
Umsýslu- og auglýsingakostnaður v. óv. br. sbr. 1. mgr. 43. gr.                75% 166.598
Óverulegar breytingar
Breyting á deiliskipulagsuppdrætti, sbr. 2. mgr. 43. gr. v. óv. br.               50% 111.065
Umsýslu- og auglýsingakostnaður v. óv. br. sbr. 2. mgr. 43. gr.                 30% 66.639
Umsýslu- og auglýsingakostnaður v. óv. br. sbr. 3. mgr. 44. gr.                 13% 28.877</t>
        </r>
      </text>
    </comment>
    <comment ref="E34" authorId="0" shapeId="0" xr:uid="{BAC06E1D-2C7D-4728-B5C5-B5CBD0506972}">
      <text>
        <r>
          <rPr>
            <sz val="9"/>
            <color indexed="81"/>
            <rFont val="Tahoma"/>
            <family val="2"/>
          </rPr>
          <t>Gjaldskrá Jan 2019
5.3. Grenndarkynning
Grenndarkynning, sbr. 1. mgr. 44. gr., deiliskipulag ekki fyrir hendi                   15% 33.320
Grenndarkynning, sbr. 44. gr. fyrir byggingarleyfisumsókn                                10% 22.213
Við grenndarkynningu er heimilt er að innheimta aukagjald samkvæmt tímagjaldi skipulagsfulltrúa fyrir
vinnu umfram það meðalgjald sem kynnt er.</t>
        </r>
      </text>
    </comment>
    <comment ref="E41" authorId="0" shapeId="0" xr:uid="{DDE462A3-4BD9-4E19-A19C-5F0ECCADF6C5}">
      <text>
        <r>
          <rPr>
            <sz val="9"/>
            <color indexed="81"/>
            <rFont val="Tahoma"/>
            <family val="2"/>
          </rPr>
          <t>Gjaldskrá Jan 2019
5.4. Afgreiðslu- og þjónustugjöld.
5.4.1. Staðfestingargjald vegna lóðaúthlutunar (óafturkræft)                                            20% 44.426
5.4.2. Yfirferð aðal- og séruppdrátta                                                                                   10% 22.213
5.4.3. Hver endurskoðaður aðaluppdráttur                                                                          7% 15.549
5.4.4. Vottorð um byggingarstig og stöðuúttekt                                                                  10% 22.213
5.4.5. Endurnýjun leyfis án breytinga                                                                                  5% 11.107
5.4.6. Úttekt vegna vín- og veitingaleyfa                                                                            5% 11.107
5.4.7. Eignaskiptayfirlýsing, eignarhlutar 2-10, hver umfjöllun pr. eignarhluta                   5% 11.107
5.4.8. Eignaskiptayfirlýsing, 10 og yfir hver umfjöllun pr. eignarhl.                                     3% 6.664
5.4.9. Lóðarsamningur nýrrar lóðar                                                                                      23% 51.090
5.4.10. Breytingar á lóðarsamningi                                                                                       10% 22.213
5.4.11. Gjald f. útkall þegar verk reynist ekki úttektarhæft                                                 5% 11.107
5.4.12. Gjald f. önnur útköll s.s. vettvangsskoðun og mælingar                                          5% 11.107
5.4.13. Stöðuleyfi árgj. greiðist einu sinni á ári                                                                     25% 55.533
5.4.14. Afgreiðslugjald nefndar                                                                                             3% 6.664
5.4.15. Fyrir afhendingu grunnganga fyrir skipulagsvinnu                                                    5% 11.107
5.4.16. Fyrir umsýslu v/breytingar á deiliskipulagi sbr. 2. mgr. 43. gr.                                 5% 11.107
5.4.17. Fyrir umsýslu á deiliskipulagi skv. 43. gr.                                                                  20% 44.426
5.4.18. Úttekt á leiguhúsnæði                                                                                               15% 33.320
5.4.19. Úttekt, leyfi og umsagnir vegna gistileyfa                                                                15% 33.320
5.4.20. Ástandsskoðun húss                                                                                                 5% 11.107
5.4.21. Útsetning húss                                                                                                          15% 33.320
Hlutfall samkvæmt þessum lið er hlutfallsprósenta af byggingarkostnaði pr. fermetra vísitöluhúss fjölbýlis sbr. útreikning Hagstofu Íslands. Þjónustugjöld samkvæmt gjaldskrá þessari skal staðgreiða. Greiða skal fyrir þjónustu og leyfisveitingu sem byggingarfulltrúi veitir umfram þá sem innifalin er í byggingarleyfisgjaldi. Fyrir þjónustu/afgreiðslu skjala og teikninga vegna ljósritunar og útprentunar í A1, A2, A3, A4 skal greiða samkvæmt kostnaði.</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Garðar Tyrfingsson</author>
  </authors>
  <commentList>
    <comment ref="E10" authorId="0" shapeId="0" xr:uid="{4AFFA9FF-B3A5-44BA-92DF-B5DFCD0BCF2B}">
      <text>
        <r>
          <rPr>
            <sz val="9"/>
            <color indexed="81"/>
            <rFont val="Tahoma"/>
            <family val="2"/>
          </rPr>
          <t>C. Um stofngjald holræsa.
18. gr.
Stofngjald fráveitu (holræsa) skal innheimta af öllum fasteignum sem tengdar eru við fráveitu í eigu Sveitarfélagsins Ölfuss. Stofngjald holræsa byggir á ákvæðum X. kafla vatnalaga nr. 15/1923. Gjaldið skal álagt og innheimt við veitingu byggingarleyfis og vera sem hér segir:
I Tegund byggingar Grunngjald, kr. m3-gjald, kr. Athugasemdir
A Íbúðarhúsnæði, verslun og þjónusta
30.000                                102 m³-gjald af m³ umfram 700 m3
B Iðnaðar- og atvinnuhúsnæði
40.000                                102 m³-gjald af m³ umfram 1000 m3
19. gr.
Stofngjald fráveitu skal endurgreitt með sama hætti og gatnagerðargjald. Endurgreiðslu tengigjalds fráveitu er heimilt að fresta þar til lóð er úthlutað að nýju, en þó ekki lengur en í 6 mánuði frá afturköllun eða niðurfellingu byggingarleyfis.</t>
        </r>
      </text>
    </comment>
    <comment ref="E11" authorId="0" shapeId="0" xr:uid="{101F48FE-B28B-498E-AFD9-EAF20423C220}">
      <text>
        <r>
          <rPr>
            <sz val="9"/>
            <color indexed="81"/>
            <rFont val="Tahoma"/>
            <family val="2"/>
          </rPr>
          <t>Reikna skal rúmmetra þess hús sem rukkað er fyrir.
Mesta rúmmál: Nýtingarhlutfall * Lóðarstærð * Meðalhæð húss 
Dæmi, Pálsbúð 5: 0,34 * 938,5 m2 * 3 m (Ágiskun) = 957 m3
       Rúmmetragjald: 249 kr/m3 x (957m3 - 700m3) = 34.515 kr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Sigmar B Árnason</author>
  </authors>
  <commentList>
    <comment ref="K19" authorId="0" shapeId="0" xr:uid="{61B5E88C-EC99-4CF9-94E4-32FC19A45B4A}">
      <text>
        <r>
          <rPr>
            <b/>
            <sz val="9"/>
            <color indexed="81"/>
            <rFont val="Tahoma"/>
            <family val="2"/>
          </rPr>
          <t>Sigmar B Árnason:</t>
        </r>
        <r>
          <rPr>
            <sz val="9"/>
            <color indexed="81"/>
            <rFont val="Tahoma"/>
            <family val="2"/>
          </rPr>
          <t xml:space="preserve">
hér þarf að vera innifalið í einingu sem valin er amk. 35 metrar, þurfum ekki heildarlengdardálk.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Sigmar B Árnason</author>
  </authors>
  <commentList>
    <comment ref="K19" authorId="0" shapeId="0" xr:uid="{10DF65F1-8173-406B-B6B3-3CAD0D39B8A4}">
      <text>
        <r>
          <rPr>
            <b/>
            <sz val="9"/>
            <color indexed="81"/>
            <rFont val="Tahoma"/>
            <family val="2"/>
          </rPr>
          <t>Sigmar B Árnason:</t>
        </r>
        <r>
          <rPr>
            <sz val="9"/>
            <color indexed="81"/>
            <rFont val="Tahoma"/>
            <family val="2"/>
          </rPr>
          <t xml:space="preserve">
hér þarf að vera innifalið í einingu sem valin er amk. 35 metrar, þurfum ekki heildarlengdardálk.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42C6E16-4CFE-440B-B076-D5517A5F27BC}"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437B8CF1-92DC-4936-8725-3EB4C45A4068}" name="WorksheetConnection_1621-005-07-GJS-001-V17-Gjaldskrá.xlsx!Vísitölur_frá_Hagstofu" type="102" refreshedVersion="6" minRefreshableVersion="5">
    <extLst>
      <ext xmlns:x15="http://schemas.microsoft.com/office/spreadsheetml/2010/11/main" uri="{DE250136-89BD-433C-8126-D09CA5730AF9}">
        <x15:connection id="Vísitölur_frá_Hagstofu" autoDelete="1">
          <x15:rangePr sourceName="_xlcn.WorksheetConnection_162100507GJS001V17Gjaldskrá.xlsxVísitölur_frá_Hagstofu1"/>
        </x15:connection>
      </ext>
    </extLst>
  </connection>
</connections>
</file>

<file path=xl/sharedStrings.xml><?xml version="1.0" encoding="utf-8"?>
<sst xmlns="http://schemas.openxmlformats.org/spreadsheetml/2006/main" count="1342" uniqueCount="387">
  <si>
    <t>Gjaldskrá</t>
  </si>
  <si>
    <t>Skipulags og Byggingarfulltrúri Sveitarfélagsins Ölfus</t>
  </si>
  <si>
    <t>Kt:</t>
  </si>
  <si>
    <t>Eign:</t>
  </si>
  <si>
    <t>Máls nr.:</t>
  </si>
  <si>
    <t>Eindagi reiknings</t>
  </si>
  <si>
    <t>Þjóðskrárnr.:</t>
  </si>
  <si>
    <t>Landnr.:</t>
  </si>
  <si>
    <t>Fjölbýlishús</t>
  </si>
  <si>
    <t>Grunngjald</t>
  </si>
  <si>
    <t>Stofngjald holræsa</t>
  </si>
  <si>
    <t>Einbýlishús</t>
  </si>
  <si>
    <t>Frístundahús, eitt hús á lóð</t>
  </si>
  <si>
    <t>3.1</t>
  </si>
  <si>
    <t>3.2</t>
  </si>
  <si>
    <t>Gripahús</t>
  </si>
  <si>
    <t>3.2.1</t>
  </si>
  <si>
    <t>3.2.3</t>
  </si>
  <si>
    <t>3.2.5</t>
  </si>
  <si>
    <t>3.2.2</t>
  </si>
  <si>
    <t>3.2.4</t>
  </si>
  <si>
    <t>3.2.6</t>
  </si>
  <si>
    <t>3.2.7</t>
  </si>
  <si>
    <t>3.3</t>
  </si>
  <si>
    <t>3.3.1</t>
  </si>
  <si>
    <t>3.3.2</t>
  </si>
  <si>
    <t>Atvinnu- og þjónustuhús og stofnanir, húsnæði með íbúðum</t>
  </si>
  <si>
    <t>3.4</t>
  </si>
  <si>
    <t>3.5</t>
  </si>
  <si>
    <t>Ýmis hús og hvers konar viðbyggingar</t>
  </si>
  <si>
    <t>Stöðuleyfi söluvagna og söluskúra 1-6 mán.</t>
  </si>
  <si>
    <t>Stöðuleyfi gáma, húsa, báta, hjólhýsa, sumarhúsa o.fl. Veitt til allt að eins árs</t>
  </si>
  <si>
    <t xml:space="preserve">        -</t>
  </si>
  <si>
    <t>Önnur hús, bílgeymslur og hvers konar viðbyggingar</t>
  </si>
  <si>
    <t>Frístundashús með gestahúsi</t>
  </si>
  <si>
    <t>Gólfflötur allt að 99 fermetrar</t>
  </si>
  <si>
    <t>Gólfflötur 100 - 199 fermetrar</t>
  </si>
  <si>
    <t>Gólfflötur 200 - 499 fermetrar</t>
  </si>
  <si>
    <t>Gólfflötur 500 - 799 fermetrar</t>
  </si>
  <si>
    <t>Gólfflötur 2.000 - 5.000 fermetrar</t>
  </si>
  <si>
    <t>Gólfflötur 800 - 1.999 fermetrar</t>
  </si>
  <si>
    <t>Gólfflötur stærri en 5.001 fermetri</t>
  </si>
  <si>
    <t>Óeinangrarðar geymslur/hlöður og áþekk hús</t>
  </si>
  <si>
    <t>Gólfflötur frá 2.000 fermetrum og yfir</t>
  </si>
  <si>
    <t>Gólfflötur allt að 500 fermetrar</t>
  </si>
  <si>
    <t>Gólfflötur 500 - 1.000 fermetrar</t>
  </si>
  <si>
    <t>Gólfflötur 1.001 - 2.000 fermetrar</t>
  </si>
  <si>
    <t>Gólfflötur 2.001 - 5.000 fermetrar</t>
  </si>
  <si>
    <t>Gólfflötur 5.001 - 7.500 fermetrar</t>
  </si>
  <si>
    <t>Gólfflötur 7.500 fermetrar og yfir</t>
  </si>
  <si>
    <t>Sólstofur, garðhús, bílageymslur fyrir mest 2 bíla, gripahús og viðbyggingar allt að 20 fermetra</t>
  </si>
  <si>
    <t>Viðbyggingar 20 til 100 fermetra</t>
  </si>
  <si>
    <t>Stöðúleyfi söluvagna og söluskúra 7-12 mán.</t>
  </si>
  <si>
    <t>Hlutfall</t>
  </si>
  <si>
    <t xml:space="preserve">   Viðbyggingar allt að 20 fermetrar</t>
  </si>
  <si>
    <t xml:space="preserve">   Viðbyggingar frá 20 - 100 fermetrar</t>
  </si>
  <si>
    <t xml:space="preserve">   Viðbyggingar stærri en 100 fermetrar</t>
  </si>
  <si>
    <t>Framkvæmdaleyfisgjald</t>
  </si>
  <si>
    <t>Framkvæmdaleyfisgjald - framkvæmdir skv. 1. og 2. viðauka laga um mat á umhverfisáhrifum nr. 106/2000</t>
  </si>
  <si>
    <t>Framkvæmdaleyfi aðrar framkvæmdir</t>
  </si>
  <si>
    <t>Eftirlit umfram það sem kemur fram í viðmiðunargjaldi</t>
  </si>
  <si>
    <t>Kostnaður vegna aðalskipulagsbreytinga</t>
  </si>
  <si>
    <t>Afgreiðslugjald</t>
  </si>
  <si>
    <t>Umsýslu- og auglýsingakostnaður, sbr. 1. mgr. 36. gr.</t>
  </si>
  <si>
    <t>Breytingar á aðalskipulagsuppdrætti, sbr. 36. gr.</t>
  </si>
  <si>
    <t>Umsýslu- og auglýsingakostnaður, sbr. 2. mgr. 36. gr</t>
  </si>
  <si>
    <t>Breyting á aðalskipulagsuppdrætti, sbr. 2. mgr. 36. gr. V. Óverul. Br.</t>
  </si>
  <si>
    <t>Aðkeypt vinna skv. reikningi</t>
  </si>
  <si>
    <t>5.1</t>
  </si>
  <si>
    <t>Kostnaður vegna deiliskipulags.</t>
  </si>
  <si>
    <t>Nýtt deiliskipulag, sbr. 2. mgr. 38. gr.</t>
  </si>
  <si>
    <t>Umsýslu- og auglýsingakostnaður, sbr. 2. mgr. 38. gr.</t>
  </si>
  <si>
    <t>Vegrulegar breytingar</t>
  </si>
  <si>
    <t>Breyting á deiliskipulagsuppdrætti, sbr. 1. mgr. 43. gr.</t>
  </si>
  <si>
    <t>Umsýslu- og auglýsingakostnaður v. Óverul. Br. Sbr. 1. mgr. 43. gr.</t>
  </si>
  <si>
    <t>Óverulegar breytingar</t>
  </si>
  <si>
    <t>Breyting á deiliskipulagsuppdrætti, sbr. 2. mgr. 43. gr. V. Óverul. Br.</t>
  </si>
  <si>
    <t>Umsýslu- og auglýsingakostnaður v. Óverul. Br. Sbr. 2. mgr. 43. gr.</t>
  </si>
  <si>
    <t>Umsýslu- og auglýsingakostnaður v. Óverul. Br. Sbr. 3. mgr. 44. gr.</t>
  </si>
  <si>
    <t>Grenndarkynning</t>
  </si>
  <si>
    <t>Grenndarkynning, sbr. 1. mgr. 44. gr. , deiliskipulag ekki fyrir hendi</t>
  </si>
  <si>
    <t>Grenndarkynning, sbr. 44. gr. Fyrir byggingarleyfisumsókn</t>
  </si>
  <si>
    <t>Við grenndarkynningu er heimilt er að innheimta aukagjald samkvæmt tímagjaldi skipulagsfulltrúa fyrir vinnu umfram það sem meðalgjald sem kynnt er.</t>
  </si>
  <si>
    <t>Afgreiðslu- og þjónustugjöld</t>
  </si>
  <si>
    <t>Hver endurskoðaður aðaluppdráttur</t>
  </si>
  <si>
    <t>Endurnýjun leyfis án breytinga</t>
  </si>
  <si>
    <t>Úttekt vegna vín- og veitingaleyfa</t>
  </si>
  <si>
    <t>Lóðarsamningur nýrrar lóðar</t>
  </si>
  <si>
    <t>Breytingar á lóðarsamningi</t>
  </si>
  <si>
    <t>Gjald f. Útkall þegar verk reynist ekki úttektarhæft</t>
  </si>
  <si>
    <t>Gjald f. Önnur úköll s.s. Vettvangsskoðu og mælingar</t>
  </si>
  <si>
    <t>Eignaskiptayfirlýsing, eignarhlutar 2-10 , hver umfjöllun pr eignarhluta</t>
  </si>
  <si>
    <t>Eignaskiptayfirlýsing, 10 og yfir hver umfjöllun pr. Eignarhl.</t>
  </si>
  <si>
    <t>Stöðuleyfi árgj. Greiðist einu sinni á ári</t>
  </si>
  <si>
    <t>Fyrir afhendingu grunnganga fyrir skipulagsvinnu</t>
  </si>
  <si>
    <t>Fyrir umsýslu v/breytingar á deiliskipulagi sbr. 2. mgr. 43. gr</t>
  </si>
  <si>
    <t>Fyrir umsýslu á deiliskipulagi skv. 43. gr.</t>
  </si>
  <si>
    <t>Úttekt á leiguhúsnæði</t>
  </si>
  <si>
    <t>Úttekt, leyfi og umsagnir vegna gistileyfa</t>
  </si>
  <si>
    <t>Ástandsskoðun húss</t>
  </si>
  <si>
    <t>Ein. Verð</t>
  </si>
  <si>
    <t>Samtals gjöld</t>
  </si>
  <si>
    <t>Fjöldi Eininga</t>
  </si>
  <si>
    <t>Íbúðarhúsnæði, verslun og þjónusta</t>
  </si>
  <si>
    <t>Iðnaðar- og atvinnuhúsnæði</t>
  </si>
  <si>
    <t>[Ein]</t>
  </si>
  <si>
    <t>Samtals á reikningi:</t>
  </si>
  <si>
    <t>Það % hlutfall sem gefið er upp er hlutfall af vísitölu fermetrakostnaði við vísitölu hús byggt á grunni frá 1987.</t>
  </si>
  <si>
    <t>3.1.1</t>
  </si>
  <si>
    <t>3.1.2</t>
  </si>
  <si>
    <t>3.1.3</t>
  </si>
  <si>
    <t>3.1.4</t>
  </si>
  <si>
    <t>3.1.5</t>
  </si>
  <si>
    <t>4.1</t>
  </si>
  <si>
    <t>4.2</t>
  </si>
  <si>
    <t>4.3</t>
  </si>
  <si>
    <t>5.1.1</t>
  </si>
  <si>
    <t>6.1</t>
  </si>
  <si>
    <t>6.1.1</t>
  </si>
  <si>
    <t>6.1.2</t>
  </si>
  <si>
    <t>5.1.2</t>
  </si>
  <si>
    <t>Yfirferð sérteikningar</t>
  </si>
  <si>
    <t>Par-, rað-, tvíbýlis- og keðjuhús</t>
  </si>
  <si>
    <t>[Stk]</t>
  </si>
  <si>
    <r>
      <t>[m</t>
    </r>
    <r>
      <rPr>
        <i/>
        <vertAlign val="superscript"/>
        <sz val="11"/>
        <color theme="1"/>
        <rFont val="Calibri"/>
        <family val="2"/>
        <scheme val="minor"/>
      </rPr>
      <t>3</t>
    </r>
    <r>
      <rPr>
        <i/>
        <sz val="11"/>
        <color theme="1"/>
        <rFont val="Calibri"/>
        <family val="2"/>
        <scheme val="minor"/>
      </rPr>
      <t>]</t>
    </r>
  </si>
  <si>
    <r>
      <t>[m</t>
    </r>
    <r>
      <rPr>
        <i/>
        <vertAlign val="superscript"/>
        <sz val="11"/>
        <color theme="1"/>
        <rFont val="Calibri"/>
        <family val="2"/>
        <scheme val="minor"/>
      </rPr>
      <t>2</t>
    </r>
    <r>
      <rPr>
        <i/>
        <sz val="11"/>
        <color theme="1"/>
        <rFont val="Calibri"/>
        <family val="2"/>
        <scheme val="minor"/>
      </rPr>
      <t>]</t>
    </r>
  </si>
  <si>
    <t>Yfirlit yfir uppfærslur</t>
  </si>
  <si>
    <t>Uppfært hámarks og lákmarks verð gatnaverðargjalda sem leiðrétta sig eftir vísitölu</t>
  </si>
  <si>
    <t>Nýtingarhlutfall</t>
  </si>
  <si>
    <r>
      <t>m</t>
    </r>
    <r>
      <rPr>
        <vertAlign val="superscript"/>
        <sz val="11"/>
        <color theme="1"/>
        <rFont val="Calibri"/>
        <family val="2"/>
        <scheme val="minor"/>
      </rPr>
      <t>2</t>
    </r>
    <r>
      <rPr>
        <sz val="11"/>
        <color theme="1"/>
        <rFont val="Calibri"/>
        <family val="2"/>
        <scheme val="minor"/>
      </rPr>
      <t xml:space="preserve"> Lóð</t>
    </r>
  </si>
  <si>
    <t>Leiðrétt fastagjöld yfir í að vera vísitölutengd</t>
  </si>
  <si>
    <t>Uppfært byggingarvísitöluna svo hún sé sótt um leið og skjalið sé opnað</t>
  </si>
  <si>
    <t>Gatnagerðargjöld</t>
  </si>
  <si>
    <t>Nafn:</t>
  </si>
  <si>
    <t>Skýring:</t>
  </si>
  <si>
    <t>Bætt við álög inn í verðreikning og sett álög til 100%</t>
  </si>
  <si>
    <t>Fjarlægt einfaldaða gjaldskrá</t>
  </si>
  <si>
    <t>Uppfært af:</t>
  </si>
  <si>
    <t>GAT</t>
  </si>
  <si>
    <t>Bætt við að sækja fermetraverð frá hagstofu</t>
  </si>
  <si>
    <t>Breytt hvernig vísitalan er tekin inn í skjalið af netinu.</t>
  </si>
  <si>
    <t>Vísitala</t>
  </si>
  <si>
    <t>Fermetraverð</t>
  </si>
  <si>
    <t>Rúmmetraverð</t>
  </si>
  <si>
    <t>Breytt hvernig vísitalan er tekin inn í skjalið af netinu. Notast við aðra aðferð. Einnig lagfært villu sem kom upp vegna uppfærslu Granna.</t>
  </si>
  <si>
    <t>Uppfært Logo Sveitarfélagsins Ölfus</t>
  </si>
  <si>
    <t>Tekið út lágmarksverð í Lið 4.1 skv. beiðni dags. 2.1.2019. Lagfært stafsetningu í lið 4.3.1 og betrum bætt hvernig sótt er vísitölu</t>
  </si>
  <si>
    <t xml:space="preserve">Rúmmetragjald </t>
  </si>
  <si>
    <t>Byggingarleyfisgjald</t>
  </si>
  <si>
    <t>Gjöld vegna Skipulagsbreytinga</t>
  </si>
  <si>
    <t>4.0</t>
  </si>
  <si>
    <t>Breytt hvernig holræsi og vatnsveita er reiknað. Bætt við skýringum fyrir flest alla liði og tilvísunum í gjaldskrár. Bætt yfirlitsmöguleika fyrir aðalliði. Margar smærri uppfærslur. Tekið út hámark fyrir gatnagerðargjöld.</t>
  </si>
  <si>
    <r>
      <t>Rúmmetragjald  umfram 700 m</t>
    </r>
    <r>
      <rPr>
        <i/>
        <vertAlign val="superscript"/>
        <sz val="11"/>
        <color theme="1"/>
        <rFont val="Calibri"/>
        <family val="2"/>
        <scheme val="minor"/>
      </rPr>
      <t>3</t>
    </r>
  </si>
  <si>
    <t>Tekið út álags prócentur sem bættar voru inn 26.9.2017. Bætt við flipa með einfaldri samantekt. Bætt við flipum fyrir hvern kafla.</t>
  </si>
  <si>
    <t>Brett flipum, footer, sýnt meira útreikning varðandi gatnagerðar gjöld í kafla 4</t>
  </si>
  <si>
    <t>Fjarlægt hámark, en breytt útreikningi þannig að notast verði við lágmark við útreikning á gatnagerðargjaldi.</t>
  </si>
  <si>
    <t>Bæt við nýtingarhlufall við útreikning á gatnagerðargjöldum fyrir liði 4.1.7, 4.1.8 og 4.1.9.</t>
  </si>
  <si>
    <t>Minniháttar breytingar (útliti, skipulagi)</t>
  </si>
  <si>
    <t>3.1.6</t>
  </si>
  <si>
    <t>Meiriháttar breytingar (útliti, skipulagi)</t>
  </si>
  <si>
    <t>3.1.7</t>
  </si>
  <si>
    <t>3.1.8</t>
  </si>
  <si>
    <t>3.1.9</t>
  </si>
  <si>
    <t>3.3.3</t>
  </si>
  <si>
    <t>3.3.4</t>
  </si>
  <si>
    <t>3.3.5</t>
  </si>
  <si>
    <t>3.3.6</t>
  </si>
  <si>
    <t>3.4.1</t>
  </si>
  <si>
    <t>3.4.2</t>
  </si>
  <si>
    <t>3.4.3</t>
  </si>
  <si>
    <t>3.4.4</t>
  </si>
  <si>
    <t>3.4.5</t>
  </si>
  <si>
    <t>3.4.6</t>
  </si>
  <si>
    <t>3.5.1</t>
  </si>
  <si>
    <t>3.6</t>
  </si>
  <si>
    <t>3.5.2</t>
  </si>
  <si>
    <r>
      <t>Byggingarleyfisgjöld af viðbyggingum sem eru stærri en 100m</t>
    </r>
    <r>
      <rPr>
        <b/>
        <vertAlign val="superscript"/>
        <sz val="11"/>
        <color theme="1"/>
        <rFont val="Calibri"/>
        <family val="2"/>
        <scheme val="minor"/>
      </rPr>
      <t>2</t>
    </r>
    <r>
      <rPr>
        <b/>
        <sz val="11"/>
        <color theme="1"/>
        <rFont val="Calibri"/>
        <family val="2"/>
        <scheme val="minor"/>
      </rPr>
      <t xml:space="preserve"> skulu vera þau sömu og byggingarleyfisgjöld af því húsnæði sem byggt er við.</t>
    </r>
  </si>
  <si>
    <t>3.6.1</t>
  </si>
  <si>
    <t>3.6.2</t>
  </si>
  <si>
    <t>3.6.3</t>
  </si>
  <si>
    <t>5.0</t>
  </si>
  <si>
    <t>5.1.3</t>
  </si>
  <si>
    <t>5.1.4</t>
  </si>
  <si>
    <t>5.1.5</t>
  </si>
  <si>
    <t>5.2</t>
  </si>
  <si>
    <t>5.2.1</t>
  </si>
  <si>
    <t>5.2.2</t>
  </si>
  <si>
    <t>5.2.3</t>
  </si>
  <si>
    <t>5.2.4</t>
  </si>
  <si>
    <t>5.2.5</t>
  </si>
  <si>
    <t>5.2.6</t>
  </si>
  <si>
    <t>5.2.7</t>
  </si>
  <si>
    <t>5.2.8</t>
  </si>
  <si>
    <t>5.3</t>
  </si>
  <si>
    <t>5.3.1</t>
  </si>
  <si>
    <t>5.3.2</t>
  </si>
  <si>
    <t>5.4</t>
  </si>
  <si>
    <t>5.4.1</t>
  </si>
  <si>
    <t>5.4.2</t>
  </si>
  <si>
    <t>5.4.3</t>
  </si>
  <si>
    <t>5.4.4</t>
  </si>
  <si>
    <t>5.4.5</t>
  </si>
  <si>
    <t>5.4.6</t>
  </si>
  <si>
    <t>5.4.7</t>
  </si>
  <si>
    <t>5.4.8</t>
  </si>
  <si>
    <t>5.4.9</t>
  </si>
  <si>
    <t>5.4.10</t>
  </si>
  <si>
    <t>5.4.11</t>
  </si>
  <si>
    <t>5.4.12</t>
  </si>
  <si>
    <t>5.4.13</t>
  </si>
  <si>
    <t>5.4.14</t>
  </si>
  <si>
    <t>5.4.15</t>
  </si>
  <si>
    <t>5.4.16</t>
  </si>
  <si>
    <t>5.4.17</t>
  </si>
  <si>
    <t>5.4.18</t>
  </si>
  <si>
    <t>5.4.19</t>
  </si>
  <si>
    <t>5.4.20</t>
  </si>
  <si>
    <t>5.4.21</t>
  </si>
  <si>
    <t>Útsetning húss</t>
  </si>
  <si>
    <t>Staðfestingargjald vegna lóðaúthlutunar (óafturkræft)</t>
  </si>
  <si>
    <t>Yfirferð aðal- og séruppdrátta</t>
  </si>
  <si>
    <t>Vottorð um byggingarstig og stöðuúttekt</t>
  </si>
  <si>
    <t>Afgreiðslugjald nefndar</t>
  </si>
  <si>
    <t>Gjaldskrá fyrir byggingarleyfis- og þjónustugjöld í Svf. Ölfusi 31.1.2019</t>
  </si>
  <si>
    <t>Fyrir þjónustu/afgreiðslu skjala og teikninga vegna ljósritunar og útprentunar í A1, A2, A3, A4 skal greiða samkvæmt kostnaði.</t>
  </si>
  <si>
    <t>Greiða skal fyrir þjónustu og leyfisveitingu sem byggingarfulltrúi veitir umfram þá sem innifalin er í byggingarleyfisgjaldi.</t>
  </si>
  <si>
    <t>5.3.3</t>
  </si>
  <si>
    <t>6.1.3</t>
  </si>
  <si>
    <t>6.1.4</t>
  </si>
  <si>
    <t>6.1.5</t>
  </si>
  <si>
    <t>6.1.6</t>
  </si>
  <si>
    <t>6.2</t>
  </si>
  <si>
    <t>6.2.1</t>
  </si>
  <si>
    <t>6.2.2</t>
  </si>
  <si>
    <t>7.1</t>
  </si>
  <si>
    <t>7.1.1</t>
  </si>
  <si>
    <t>7.1.2</t>
  </si>
  <si>
    <t>8.1</t>
  </si>
  <si>
    <t>8.1.1</t>
  </si>
  <si>
    <t>Uppfært texta og liði skv. síðustu gjaldskrá. Uppfært grunnvísitölu skv. gjaldskrá jan. 2019.</t>
  </si>
  <si>
    <t>1.2</t>
  </si>
  <si>
    <t>Viðbótargjald byggingar- og skipulagsfulltrúa</t>
  </si>
  <si>
    <t>Fjöldi viðbótar tímar</t>
  </si>
  <si>
    <t>[kr/ klst]</t>
  </si>
  <si>
    <t>Gjald skv. reikningi</t>
  </si>
  <si>
    <r>
      <t>Rúmmetragjald  umfram 1000 m</t>
    </r>
    <r>
      <rPr>
        <i/>
        <vertAlign val="superscript"/>
        <sz val="11"/>
        <color theme="1"/>
        <rFont val="Calibri"/>
        <family val="2"/>
        <scheme val="minor"/>
      </rPr>
      <t>3</t>
    </r>
  </si>
  <si>
    <t xml:space="preserve">Uppfært útreikning á gatnagerðargjaldi. </t>
  </si>
  <si>
    <t>Breytt hvernig gögn eru sótt frá Hagstofu. Þarf líklega uppfæra árlega.</t>
  </si>
  <si>
    <t>GAT/JS</t>
  </si>
  <si>
    <t>Par-, rað-, tvíbýlis- eða keðjuhús með eðan án bílskýlis</t>
  </si>
  <si>
    <t>Fjölbýlishús, með eða án bílskýlis</t>
  </si>
  <si>
    <t>Verslunar-, skrifstofu- og þjónustuhúsnæði</t>
  </si>
  <si>
    <t>Iðnaðar-, geymsluhúsnæði og annað atvinnuhúsnæði</t>
  </si>
  <si>
    <t>Aðrar byggingar, t.d. Hesthús, gripahús</t>
  </si>
  <si>
    <t>Fermetraverð vísitöluhúss janúar 2008</t>
  </si>
  <si>
    <t>Gatnagerðargjöld - Afsláttur af gatnagerðargjaldi</t>
  </si>
  <si>
    <t>Yfirbyggðar göngugötur eða léttar tengibyggingar</t>
  </si>
  <si>
    <t>Stækkunar íbúðarhúss sem er amk. 15 ára eða eldra. Innan við 30 fm stækkun.</t>
  </si>
  <si>
    <t>6.2.3</t>
  </si>
  <si>
    <t>Svalaskýli íbúðarhúsa minni en 20 fm</t>
  </si>
  <si>
    <t>6.2.4</t>
  </si>
  <si>
    <t>Sameiginlegum bifreiðageymslum fyrir 3 eða fleiri bifreiðar.</t>
  </si>
  <si>
    <t>6.2.5</t>
  </si>
  <si>
    <t>Gjöld skv. samþykkt um gatnagerðargjöld fyrir Sveitarfélagið Ölfus, 20. ágúst 2020</t>
  </si>
  <si>
    <t xml:space="preserve">Vatnsgjald </t>
  </si>
  <si>
    <t>Stofn vatnsgjalds</t>
  </si>
  <si>
    <t>Fasteignamat:</t>
  </si>
  <si>
    <t>Heimæðar</t>
  </si>
  <si>
    <t>Óeinangruð smáhýsi. Ef minni en 15 fm er afsláttur 100%</t>
  </si>
  <si>
    <t>Þvermál heimæðar, plast, mm</t>
  </si>
  <si>
    <t>Verð á metra umfra 35 m</t>
  </si>
  <si>
    <t>Verð, lengd heimæðar 0-35 m</t>
  </si>
  <si>
    <t>&lt; 32</t>
  </si>
  <si>
    <t>40</t>
  </si>
  <si>
    <t>50</t>
  </si>
  <si>
    <t>63</t>
  </si>
  <si>
    <t>75</t>
  </si>
  <si>
    <t>90</t>
  </si>
  <si>
    <t>110</t>
  </si>
  <si>
    <t>160</t>
  </si>
  <si>
    <t>Byggingarvísitala janúar 2020</t>
  </si>
  <si>
    <t>Byggingarvísitala janúar þetta ár</t>
  </si>
  <si>
    <t>Heildarlengd heimæðar</t>
  </si>
  <si>
    <t>Gjald vegna tengingar og aftengingar á byggingarvatni</t>
  </si>
  <si>
    <t>Vatnsveita í dreifbýli</t>
  </si>
  <si>
    <t>Stofngjald í dreifbýli</t>
  </si>
  <si>
    <t>Mælaleiga</t>
  </si>
  <si>
    <t>Nafnmál mm/"</t>
  </si>
  <si>
    <t>Kennitákn</t>
  </si>
  <si>
    <t>Mælaleiga kr. pr. Ár</t>
  </si>
  <si>
    <t>Mælaleiga kr. pr dag.</t>
  </si>
  <si>
    <t>&lt;25/1</t>
  </si>
  <si>
    <t>50/2</t>
  </si>
  <si>
    <t>80/3</t>
  </si>
  <si>
    <t>100/4</t>
  </si>
  <si>
    <t>150/6</t>
  </si>
  <si>
    <r>
      <t>30/1</t>
    </r>
    <r>
      <rPr>
        <sz val="11"/>
        <color theme="1"/>
        <rFont val="Calibri"/>
        <family val="2"/>
      </rPr>
      <t>¼</t>
    </r>
  </si>
  <si>
    <r>
      <t>40/1</t>
    </r>
    <r>
      <rPr>
        <sz val="11"/>
        <color theme="1"/>
        <rFont val="Calibri"/>
        <family val="2"/>
      </rPr>
      <t>½</t>
    </r>
  </si>
  <si>
    <r>
      <t>65/2</t>
    </r>
    <r>
      <rPr>
        <sz val="11"/>
        <color theme="1"/>
        <rFont val="Calibri"/>
        <family val="2"/>
      </rPr>
      <t>½</t>
    </r>
  </si>
  <si>
    <t>Fjöldi ára</t>
  </si>
  <si>
    <t>Fjöldi daga</t>
  </si>
  <si>
    <t>Graftargjöld</t>
  </si>
  <si>
    <t>Vanti ídráttarrör eða ídráttarör reynist ónothæf, greiðist vegna skurðgraftar</t>
  </si>
  <si>
    <t>Viðbótarkostnaður vegna fleygunar eða sprengingar vegna klappar eða frosts</t>
  </si>
  <si>
    <t>Klaki/klöpp &lt;30 sm</t>
  </si>
  <si>
    <t>Klaki/klöpp &gt;30 sm</t>
  </si>
  <si>
    <t>Aukavatnsgjald</t>
  </si>
  <si>
    <t>Aukavatnsgjald skulu fyrirtæki og aðrir greiða, er nota kalt vatn til annars en heimilisþarfa</t>
  </si>
  <si>
    <t>Vísitölugrunnur 1987</t>
  </si>
  <si>
    <t>Grunnvísitala April 2004</t>
  </si>
  <si>
    <t>Grunnvísitala Janúar 2019</t>
  </si>
  <si>
    <t>Byggingarvísitala þennan mánuð</t>
  </si>
  <si>
    <t>Rúmmetraverð vísitölu húss í dag</t>
  </si>
  <si>
    <t>Fermetraverð vísitölu húss í dag</t>
  </si>
  <si>
    <t>Liður 8.1 Stofngjald Vatns</t>
  </si>
  <si>
    <t>8.2</t>
  </si>
  <si>
    <t>8.2.1</t>
  </si>
  <si>
    <t>8.2.2</t>
  </si>
  <si>
    <t>8.2.3</t>
  </si>
  <si>
    <t>8.2.4</t>
  </si>
  <si>
    <t>8.2.5</t>
  </si>
  <si>
    <t>8.2.6</t>
  </si>
  <si>
    <t>8.2.7</t>
  </si>
  <si>
    <t>8.2.8</t>
  </si>
  <si>
    <t>8.2.9</t>
  </si>
  <si>
    <t>Liður 8.2 Heimæðagjöld</t>
  </si>
  <si>
    <t>8.3</t>
  </si>
  <si>
    <t>8.3.1</t>
  </si>
  <si>
    <t>Liður 8.3 Vatnsveita í dreifbýli</t>
  </si>
  <si>
    <t>8.4</t>
  </si>
  <si>
    <t>8.4.1</t>
  </si>
  <si>
    <t>8.4.2</t>
  </si>
  <si>
    <t>8.4.3</t>
  </si>
  <si>
    <t>8.4.4</t>
  </si>
  <si>
    <t>8.4.5</t>
  </si>
  <si>
    <t>8.4.6</t>
  </si>
  <si>
    <t>8.4.7</t>
  </si>
  <si>
    <t>8.4.8</t>
  </si>
  <si>
    <t>Liður 8.4 Mælaleiga</t>
  </si>
  <si>
    <t>8.5</t>
  </si>
  <si>
    <t>8.5.1</t>
  </si>
  <si>
    <t>8.5.2</t>
  </si>
  <si>
    <t>Liður 8.5 Graftargjöld</t>
  </si>
  <si>
    <t>8.6</t>
  </si>
  <si>
    <t>8.6.1</t>
  </si>
  <si>
    <t>Liður 8.6 Aukavatnsgjald</t>
  </si>
  <si>
    <t>Liður 6.1 Gatnagerðargjöld</t>
  </si>
  <si>
    <t>Liður 6.2 Gatnagerðargjöld - með afslætti</t>
  </si>
  <si>
    <t>Byggingarvísitala jan</t>
  </si>
  <si>
    <t>Liður 5.1 Aðalskipulagsbreytingar</t>
  </si>
  <si>
    <t>Liður 5.2 Deiliskipulagsbreytingar</t>
  </si>
  <si>
    <t>Liður 5.3 Grenndarkynning</t>
  </si>
  <si>
    <t>Liður 5.4 Afgreiðslu- og þjónustugjöld</t>
  </si>
  <si>
    <t>4. Framkvæmdaleyfisgjöld</t>
  </si>
  <si>
    <t>3. Byggingarleyfisgjöld</t>
  </si>
  <si>
    <t>7.1 Stofngjald holræsa</t>
  </si>
  <si>
    <t>Grunnvísitala April 2008</t>
  </si>
  <si>
    <t>Uppfært skv. nýjustu gjaldskrám fyrir gatnagerðargjöld og vatnsveitugjöld. Prufað nýja uppsetningu og fengið álit hjá SBÁ. Sent útgáfu til prufu.</t>
  </si>
  <si>
    <t>Gatnagerðargjöld - Sérstök lækkunarheimild</t>
  </si>
  <si>
    <t>6.3.1</t>
  </si>
  <si>
    <t>6.3.2</t>
  </si>
  <si>
    <t>6.3.3</t>
  </si>
  <si>
    <t>6.3.4</t>
  </si>
  <si>
    <t>6.3.5</t>
  </si>
  <si>
    <t>6.3.6</t>
  </si>
  <si>
    <t>Hlutfall lækkunnar</t>
  </si>
  <si>
    <t>6.3</t>
  </si>
  <si>
    <t>Liður 6.3 Gatnagerðargjöld - Sérstök lækkun</t>
  </si>
  <si>
    <t>Uppfært Gatnagerðargjald - Sérstök lækkunnarheimild</t>
  </si>
  <si>
    <t>Uppfært</t>
  </si>
  <si>
    <t>Byggingarvísitala Grunnur 1987</t>
  </si>
  <si>
    <t>Rúmmetraverð Vísitöluhús</t>
  </si>
  <si>
    <t>Hlekkur</t>
  </si>
  <si>
    <t>Tekið út beintengingar við Hagstofuna þar sem breyting á uppsetningu braut einfaldar tengar við Excel</t>
  </si>
  <si>
    <t>Verð á metra umfram 35 m</t>
  </si>
  <si>
    <t>Heildarfjöldi 35 m  heimæða</t>
  </si>
  <si>
    <t>KA</t>
  </si>
  <si>
    <t>Byggingarvísitala - Grunnur 2009 Janúar</t>
  </si>
  <si>
    <t>Vegna breytinga hjá Hagstofu. Hlekkir á vísitölur hjá Hagstofu voru uppfærðir. Vegna breytinga Hagstofu fellur vísitölugrunnur 2010 úr gildi. Notast er við vísitölugrunn 2009 í staðinn. Rúmmetraverð vísitöluhúss er ekki lengur skráð.</t>
  </si>
  <si>
    <t>Vísitölugrunnur 2009</t>
  </si>
  <si>
    <t>Heildarlengd heimæða</t>
  </si>
  <si>
    <t>Stofngjald</t>
  </si>
  <si>
    <t>Vísitala uppfærð,  stofngjald vatnsgjal vatnsveitu breytt í samræmi við gjaldskrá</t>
  </si>
  <si>
    <t>PB</t>
  </si>
  <si>
    <t>Stofngjald:</t>
  </si>
  <si>
    <t>Verðgrunnur fyrir gatnagerðargjald</t>
  </si>
  <si>
    <t>Byggingarvísitala - Grunnur 2009 og 1987 eru skv. 2023M12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</si>
</sst>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2" formatCode="_-* #,##0\ &quot;kr&quot;_-;\-* #,##0\ &quot;kr&quot;_-;_-* &quot;-&quot;\ &quot;kr&quot;_-;_-@_-"/>
    <numFmt numFmtId="164" formatCode="0.0%"/>
    <numFmt numFmtId="165" formatCode="_-* #,##0\ &quot;kr.&quot;_-;\-* #,##0\ &quot;kr.&quot;_-;_-* &quot;-&quot;\ &quot;kr.&quot;_-;_-@_-"/>
    <numFmt numFmtId="166" formatCode="_-* #,##0\ &quot;m²&quot;_-;\-* #,##0\ &quot;m²&quot;_-;_-* &quot;-&quot;\ &quot;m²&quot;_-;_-@_-"/>
    <numFmt numFmtId="167" formatCode="_-* #,##0\ &quot;&quot;_-;\-* #,##0\ &quot;m²&quot;_-;_-* &quot;-&quot;\ &quot;m²&quot;_-;_-@_-"/>
    <numFmt numFmtId="168" formatCode="_-* #,##0\ &quot;Stk&quot;_-;\-* #,##0\ &quot;Stk&quot;_-;_-* &quot;-&quot;\ &quot;Stk&quot;_-;_-@_-"/>
    <numFmt numFmtId="169" formatCode="_-* #,##0\ &quot;kr./m²&quot;_-;\-* #,##0\ &quot;kr./m²&quot;_-;_-* &quot;-&quot;\ &quot;kr./m²&quot;_-;_-@_-"/>
    <numFmt numFmtId="170" formatCode="_-* #,##0\ &quot;kr. / per íbúð&quot;_-;\-* #,##0\ &quot;kr. / per íbúð&quot;_-;_-* &quot;-&quot;\ &quot;kr. / per íbúð&quot;_-;_-@_-"/>
    <numFmt numFmtId="171" formatCode="_-* #,##0\ &quot;kr./m³&quot;_-;\-* #,##0\ &quot;kr./m³&quot;_-;_-* &quot;-&quot;\ &quot;kr./m³&quot;_-;_-@_-"/>
    <numFmt numFmtId="172" formatCode="_-* #,##0\ &quot;m³&quot;_-;\-* #,##0\ &quot;m³&quot;_-;_-* &quot;-&quot;\ &quot;m³&quot;_-;_-@_-"/>
    <numFmt numFmtId="173" formatCode="_-* #,##0\ &quot;kr./Stk&quot;_-;\-* #,##0\ &quot;kr./Stk&quot;_-;_-* &quot;-&quot;\ &quot;kr./Stk&quot;_-;_-@_-"/>
    <numFmt numFmtId="174" formatCode="0.0"/>
    <numFmt numFmtId="175" formatCode="_-* #,##0\ &quot;klst&quot;_-;\-* #,##0\ &quot;klst&quot;_-;_-* &quot;-&quot;\ &quot;klst&quot;_-;_-@_-"/>
    <numFmt numFmtId="176" formatCode="_-* #,##0\ &quot;m&quot;_-;\-* #,##0\ &quot;m&quot;_-;_-* &quot;-&quot;\ &quot;m&quot;_-;_-@_-"/>
    <numFmt numFmtId="177" formatCode="_-* #,##0\ &quot;ár&quot;_-;\-* #,##0\ &quot;ár&quot;_-;_-* &quot;-&quot;\ &quot;ár&quot;_-;_-@_-"/>
    <numFmt numFmtId="178" formatCode="_-* #,##0\ &quot;dagar&quot;_-;\-* #,##0\ &quot;dagar&quot;_-;_-* &quot;-&quot;\ &quot;dagar&quot;_-;_-@_-"/>
    <numFmt numFmtId="179" formatCode="_-* #,##0\ &quot;kr./m&quot;_-;\-* #,##0\ &quot;kr./m&quot;_-;_-* &quot;-&quot;\ &quot;kr./m&quot;_-;_-@_-"/>
    <numFmt numFmtId="180" formatCode="_-* #,###.##\ &quot;kr./m³&quot;_-;\-* #,###.##\ &quot;kr./m³&quot;_-;_-* &quot;-&quot;\ &quot;kr./m³&quot;_-;_-@_-"/>
    <numFmt numFmtId="181" formatCode="_-* ##,##0\ &quot;m³&quot;_-;\-* ##,##0\ &quot;m³&quot;_-;_-* &quot;-&quot;\ &quot;m³&quot;_-;_-@_-"/>
    <numFmt numFmtId="182" formatCode="_-* #,##0\ &quot;kr. / per ein.&quot;_-;\-* #,##0\ &quot;kr. / per ein.&quot;_-;_-* &quot;-&quot;\ &quot;kr. / per ein.&quot;_-;_-@_-"/>
  </numFmts>
  <fonts count="15"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sz val="18"/>
      <color theme="1"/>
      <name val="Calibri"/>
      <family val="2"/>
      <scheme val="minor"/>
    </font>
    <font>
      <b/>
      <sz val="16"/>
      <color theme="1"/>
      <name val="Calibri"/>
      <family val="2"/>
      <scheme val="minor"/>
    </font>
    <font>
      <i/>
      <sz val="11"/>
      <color theme="1"/>
      <name val="Calibri"/>
      <family val="2"/>
      <scheme val="minor"/>
    </font>
    <font>
      <i/>
      <vertAlign val="superscript"/>
      <sz val="11"/>
      <color theme="1"/>
      <name val="Calibri"/>
      <family val="2"/>
      <scheme val="minor"/>
    </font>
    <font>
      <b/>
      <i/>
      <sz val="11"/>
      <color theme="1"/>
      <name val="Calibri"/>
      <family val="2"/>
      <scheme val="minor"/>
    </font>
    <font>
      <sz val="9"/>
      <color indexed="81"/>
      <name val="Tahoma"/>
      <family val="2"/>
    </font>
    <font>
      <b/>
      <vertAlign val="superscript"/>
      <sz val="11"/>
      <color theme="1"/>
      <name val="Calibri"/>
      <family val="2"/>
      <scheme val="minor"/>
    </font>
    <font>
      <sz val="11"/>
      <color theme="1"/>
      <name val="Calibri"/>
      <family val="2"/>
    </font>
    <font>
      <b/>
      <sz val="14"/>
      <color theme="1"/>
      <name val="Calibri"/>
      <family val="2"/>
      <scheme val="minor"/>
    </font>
    <font>
      <u/>
      <sz val="11"/>
      <color theme="10"/>
      <name val="Calibri"/>
      <family val="2"/>
      <scheme val="minor"/>
    </font>
    <font>
      <b/>
      <sz val="9"/>
      <color indexed="81"/>
      <name val="Tahoma"/>
      <family val="2"/>
    </font>
    <font>
      <b/>
      <sz val="14"/>
      <color rgb="FFFF0000"/>
      <name val="Calibri"/>
      <family val="2"/>
      <scheme val="minor"/>
    </font>
  </fonts>
  <fills count="7">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C00000"/>
        <bgColor indexed="64"/>
      </patternFill>
    </fill>
  </fills>
  <borders count="30">
    <border>
      <left/>
      <right/>
      <top/>
      <bottom/>
      <diagonal/>
    </border>
    <border>
      <left/>
      <right/>
      <top/>
      <bottom style="double">
        <color indexed="64"/>
      </bottom>
      <diagonal/>
    </border>
    <border>
      <left/>
      <right/>
      <top style="hair">
        <color indexed="64"/>
      </top>
      <bottom style="hair">
        <color indexed="64"/>
      </bottom>
      <diagonal/>
    </border>
    <border>
      <left/>
      <right/>
      <top/>
      <bottom style="hair">
        <color auto="1"/>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top style="hair">
        <color indexed="64"/>
      </top>
      <bottom style="double">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189">
    <xf numFmtId="0" fontId="0" fillId="0" borderId="0" xfId="0"/>
    <xf numFmtId="9" fontId="0" fillId="0" borderId="0" xfId="0" applyNumberFormat="1"/>
    <xf numFmtId="0" fontId="0" fillId="0" borderId="2" xfId="0" applyBorder="1"/>
    <xf numFmtId="49" fontId="0" fillId="0" borderId="0" xfId="0" applyNumberFormat="1"/>
    <xf numFmtId="165" fontId="0" fillId="0" borderId="2" xfId="0" applyNumberFormat="1" applyBorder="1" applyAlignment="1">
      <alignment vertical="center"/>
    </xf>
    <xf numFmtId="165" fontId="0" fillId="0" borderId="2" xfId="0" applyNumberFormat="1" applyBorder="1" applyAlignment="1">
      <alignment horizontal="right" vertical="center"/>
    </xf>
    <xf numFmtId="49" fontId="0" fillId="0" borderId="2" xfId="0" applyNumberFormat="1" applyBorder="1" applyAlignment="1">
      <alignment vertical="center"/>
    </xf>
    <xf numFmtId="49" fontId="1" fillId="0" borderId="2" xfId="0" applyNumberFormat="1" applyFont="1" applyBorder="1" applyAlignment="1">
      <alignment vertical="center"/>
    </xf>
    <xf numFmtId="0" fontId="0" fillId="0" borderId="2" xfId="0" applyBorder="1" applyAlignment="1">
      <alignment vertical="center"/>
    </xf>
    <xf numFmtId="0" fontId="5" fillId="0" borderId="2" xfId="0" applyFont="1" applyBorder="1" applyAlignment="1">
      <alignment vertical="center"/>
    </xf>
    <xf numFmtId="165" fontId="0" fillId="0" borderId="0" xfId="0" applyNumberFormat="1"/>
    <xf numFmtId="0" fontId="0" fillId="0" borderId="0" xfId="0" applyAlignment="1">
      <alignment wrapText="1"/>
    </xf>
    <xf numFmtId="0" fontId="0" fillId="0" borderId="0" xfId="0" applyAlignment="1">
      <alignment horizontal="left" vertical="top" wrapText="1"/>
    </xf>
    <xf numFmtId="165" fontId="0" fillId="0" borderId="2" xfId="0" applyNumberFormat="1" applyBorder="1" applyAlignment="1">
      <alignment horizontal="left" vertical="center" wrapText="1"/>
    </xf>
    <xf numFmtId="165" fontId="0" fillId="0" borderId="2" xfId="0" applyNumberFormat="1" applyBorder="1" applyAlignment="1">
      <alignment vertical="center" wrapText="1"/>
    </xf>
    <xf numFmtId="165" fontId="0" fillId="2" borderId="2" xfId="0" applyNumberFormat="1" applyFill="1" applyBorder="1" applyAlignment="1" applyProtection="1">
      <alignment vertical="center"/>
      <protection locked="0"/>
    </xf>
    <xf numFmtId="49" fontId="1" fillId="0" borderId="2" xfId="0" applyNumberFormat="1" applyFont="1" applyBorder="1" applyAlignment="1">
      <alignment horizontal="left" vertical="center"/>
    </xf>
    <xf numFmtId="164" fontId="0" fillId="0" borderId="0" xfId="0" applyNumberFormat="1"/>
    <xf numFmtId="168" fontId="5" fillId="2" borderId="2" xfId="0" applyNumberFormat="1" applyFont="1" applyFill="1" applyBorder="1" applyAlignment="1" applyProtection="1">
      <alignment vertical="center"/>
      <protection locked="0"/>
    </xf>
    <xf numFmtId="166" fontId="5" fillId="2" borderId="2" xfId="0" applyNumberFormat="1" applyFont="1" applyFill="1" applyBorder="1" applyAlignment="1" applyProtection="1">
      <alignment vertical="center"/>
      <protection locked="0"/>
    </xf>
    <xf numFmtId="172" fontId="5" fillId="2" borderId="2" xfId="0" applyNumberFormat="1" applyFont="1" applyFill="1" applyBorder="1" applyAlignment="1" applyProtection="1">
      <alignment vertical="center"/>
      <protection locked="0"/>
    </xf>
    <xf numFmtId="167" fontId="5" fillId="2" borderId="2" xfId="0" applyNumberFormat="1" applyFont="1" applyFill="1" applyBorder="1" applyAlignment="1" applyProtection="1">
      <alignment vertical="center"/>
      <protection locked="0"/>
    </xf>
    <xf numFmtId="168" fontId="5" fillId="2" borderId="2" xfId="0" applyNumberFormat="1" applyFont="1" applyFill="1" applyBorder="1" applyAlignment="1" applyProtection="1">
      <alignment horizontal="right" vertical="center"/>
      <protection locked="0"/>
    </xf>
    <xf numFmtId="168" fontId="5" fillId="2" borderId="2" xfId="0" applyNumberFormat="1" applyFont="1" applyFill="1" applyBorder="1" applyAlignment="1" applyProtection="1">
      <alignment vertical="center" wrapText="1"/>
      <protection locked="0"/>
    </xf>
    <xf numFmtId="168" fontId="5" fillId="2" borderId="2" xfId="0" applyNumberFormat="1" applyFont="1" applyFill="1" applyBorder="1" applyAlignment="1" applyProtection="1">
      <alignment horizontal="left" vertical="center" wrapText="1"/>
      <protection locked="0"/>
    </xf>
    <xf numFmtId="0" fontId="0" fillId="0" borderId="0" xfId="0" applyAlignment="1">
      <alignment horizontal="left" vertical="center"/>
    </xf>
    <xf numFmtId="0" fontId="0" fillId="0" borderId="0" xfId="0" applyAlignment="1">
      <alignment vertical="center"/>
    </xf>
    <xf numFmtId="9" fontId="0" fillId="0" borderId="0" xfId="0" applyNumberFormat="1" applyAlignment="1">
      <alignment horizontal="center"/>
    </xf>
    <xf numFmtId="0" fontId="1" fillId="0" borderId="0" xfId="0" applyFont="1"/>
    <xf numFmtId="9" fontId="0" fillId="0" borderId="0" xfId="0" applyNumberFormat="1" applyAlignment="1">
      <alignment horizontal="center" vertical="center"/>
    </xf>
    <xf numFmtId="10" fontId="0" fillId="0" borderId="0" xfId="0" applyNumberFormat="1" applyAlignment="1">
      <alignment horizontal="center"/>
    </xf>
    <xf numFmtId="0" fontId="0" fillId="0" borderId="0" xfId="0" applyAlignment="1">
      <alignment horizontal="right" vertical="center"/>
    </xf>
    <xf numFmtId="9" fontId="0" fillId="0" borderId="0" xfId="0" applyNumberFormat="1" applyAlignment="1">
      <alignment horizontal="center" wrapText="1"/>
    </xf>
    <xf numFmtId="0" fontId="0" fillId="0" borderId="0" xfId="0" applyAlignment="1">
      <alignment vertical="center" wrapText="1"/>
    </xf>
    <xf numFmtId="9" fontId="0" fillId="0" borderId="0" xfId="0" applyNumberFormat="1" applyAlignment="1">
      <alignment horizontal="left" vertical="top" wrapText="1"/>
    </xf>
    <xf numFmtId="0" fontId="0" fillId="0" borderId="0" xfId="0" applyAlignment="1">
      <alignment horizontal="left" vertical="center" wrapText="1"/>
    </xf>
    <xf numFmtId="3" fontId="0" fillId="0" borderId="0" xfId="0" applyNumberFormat="1" applyAlignment="1">
      <alignment vertical="center"/>
    </xf>
    <xf numFmtId="164" fontId="0" fillId="0" borderId="0" xfId="0" applyNumberFormat="1" applyAlignment="1">
      <alignment horizontal="center"/>
    </xf>
    <xf numFmtId="173" fontId="5" fillId="0" borderId="2" xfId="0" applyNumberFormat="1" applyFont="1" applyBorder="1" applyAlignment="1">
      <alignment vertical="center"/>
    </xf>
    <xf numFmtId="170" fontId="5" fillId="0" borderId="2" xfId="0" applyNumberFormat="1" applyFont="1" applyBorder="1" applyAlignment="1">
      <alignment vertical="center"/>
    </xf>
    <xf numFmtId="165" fontId="5" fillId="0" borderId="2" xfId="0" applyNumberFormat="1" applyFont="1" applyBorder="1" applyAlignment="1">
      <alignment vertical="center"/>
    </xf>
    <xf numFmtId="169" fontId="5" fillId="0" borderId="2" xfId="0" applyNumberFormat="1" applyFont="1" applyBorder="1" applyAlignment="1">
      <alignment vertical="center"/>
    </xf>
    <xf numFmtId="173" fontId="5" fillId="0" borderId="2" xfId="0" applyNumberFormat="1" applyFont="1" applyBorder="1" applyAlignment="1">
      <alignment horizontal="left" vertical="center" wrapText="1"/>
    </xf>
    <xf numFmtId="173" fontId="5" fillId="0" borderId="2" xfId="0" applyNumberFormat="1" applyFont="1" applyBorder="1" applyAlignment="1">
      <alignment vertical="center" wrapText="1"/>
    </xf>
    <xf numFmtId="173" fontId="5" fillId="0" borderId="2" xfId="0" applyNumberFormat="1" applyFont="1" applyBorder="1" applyAlignment="1">
      <alignment horizontal="right" vertical="center"/>
    </xf>
    <xf numFmtId="171" fontId="5" fillId="0" borderId="2" xfId="0" applyNumberFormat="1" applyFont="1" applyBorder="1" applyAlignment="1">
      <alignment vertical="center"/>
    </xf>
    <xf numFmtId="49" fontId="5" fillId="0" borderId="2" xfId="0" applyNumberFormat="1" applyFont="1" applyBorder="1" applyAlignment="1">
      <alignment horizontal="center" vertical="center"/>
    </xf>
    <xf numFmtId="49" fontId="5" fillId="0" borderId="2" xfId="0" applyNumberFormat="1" applyFont="1" applyBorder="1" applyAlignment="1">
      <alignment horizontal="center" vertical="center" wrapText="1"/>
    </xf>
    <xf numFmtId="0" fontId="5" fillId="0" borderId="2" xfId="0" applyFont="1" applyBorder="1" applyAlignment="1">
      <alignment horizontal="right" vertical="center"/>
    </xf>
    <xf numFmtId="0" fontId="1" fillId="0" borderId="3" xfId="0" applyFont="1" applyBorder="1" applyAlignment="1" applyProtection="1">
      <alignment horizontal="right" vertical="center"/>
      <protection locked="0"/>
    </xf>
    <xf numFmtId="0" fontId="1" fillId="0" borderId="2" xfId="0" applyFont="1" applyBorder="1" applyAlignment="1" applyProtection="1">
      <alignment horizontal="right" vertical="center"/>
      <protection locked="0"/>
    </xf>
    <xf numFmtId="0" fontId="1" fillId="0" borderId="4" xfId="0" applyFont="1" applyBorder="1" applyAlignment="1" applyProtection="1">
      <alignment horizontal="right" vertical="center"/>
      <protection locked="0"/>
    </xf>
    <xf numFmtId="0" fontId="0" fillId="0" borderId="1" xfId="0" applyBorder="1" applyAlignment="1" applyProtection="1">
      <alignment horizontal="center" vertical="center"/>
      <protection locked="0"/>
    </xf>
    <xf numFmtId="169" fontId="5" fillId="0" borderId="2" xfId="0" applyNumberFormat="1" applyFont="1" applyBorder="1" applyAlignment="1">
      <alignment horizontal="center" vertical="center"/>
    </xf>
    <xf numFmtId="0" fontId="0" fillId="0" borderId="2" xfId="0" applyBorder="1" applyAlignment="1">
      <alignment horizontal="center" vertical="center"/>
    </xf>
    <xf numFmtId="39" fontId="5" fillId="2" borderId="5" xfId="0" applyNumberFormat="1" applyFont="1" applyFill="1" applyBorder="1" applyAlignment="1">
      <alignment horizontal="center" vertical="center"/>
    </xf>
    <xf numFmtId="166" fontId="5" fillId="2" borderId="5" xfId="0" applyNumberFormat="1" applyFont="1" applyFill="1" applyBorder="1" applyAlignment="1" applyProtection="1">
      <alignment vertical="center"/>
      <protection locked="0"/>
    </xf>
    <xf numFmtId="0" fontId="0" fillId="0" borderId="0" xfId="0" applyAlignment="1" applyProtection="1">
      <alignment horizontal="center" vertical="center"/>
      <protection locked="0"/>
    </xf>
    <xf numFmtId="0" fontId="0" fillId="0" borderId="0" xfId="0" applyAlignment="1">
      <alignment horizontal="right"/>
    </xf>
    <xf numFmtId="0" fontId="0" fillId="0" borderId="3" xfId="0" applyBorder="1" applyAlignment="1">
      <alignment vertical="center"/>
    </xf>
    <xf numFmtId="165" fontId="0" fillId="0" borderId="1" xfId="0" applyNumberFormat="1" applyBorder="1" applyAlignment="1">
      <alignment vertical="center"/>
    </xf>
    <xf numFmtId="0" fontId="0" fillId="0" borderId="0" xfId="0" applyAlignment="1" applyProtection="1">
      <alignment horizontal="left" vertical="center"/>
      <protection locked="0"/>
    </xf>
    <xf numFmtId="0" fontId="1" fillId="0" borderId="2" xfId="0" applyFont="1" applyBorder="1" applyAlignment="1">
      <alignment vertical="center"/>
    </xf>
    <xf numFmtId="165" fontId="1" fillId="0" borderId="2" xfId="0" applyNumberFormat="1" applyFont="1" applyBorder="1" applyAlignment="1">
      <alignment vertical="center"/>
    </xf>
    <xf numFmtId="14" fontId="0" fillId="0" borderId="0" xfId="0" applyNumberFormat="1" applyAlignment="1">
      <alignment horizontal="left" vertical="center" wrapText="1"/>
    </xf>
    <xf numFmtId="14" fontId="0" fillId="0" borderId="0" xfId="0" applyNumberFormat="1" applyAlignment="1">
      <alignment horizontal="left" vertical="center"/>
    </xf>
    <xf numFmtId="14" fontId="0" fillId="0" borderId="0" xfId="0" applyNumberFormat="1" applyAlignment="1">
      <alignment horizontal="right"/>
    </xf>
    <xf numFmtId="49" fontId="0" fillId="0" borderId="2" xfId="0" applyNumberFormat="1" applyBorder="1" applyAlignment="1">
      <alignment horizontal="left" vertical="center"/>
    </xf>
    <xf numFmtId="170" fontId="0" fillId="0" borderId="2" xfId="0" applyNumberFormat="1" applyBorder="1" applyAlignment="1">
      <alignment horizontal="left" vertical="center"/>
    </xf>
    <xf numFmtId="0" fontId="1" fillId="0" borderId="2" xfId="0" applyFont="1" applyBorder="1" applyAlignment="1">
      <alignment horizontal="left" vertical="center"/>
    </xf>
    <xf numFmtId="174" fontId="0" fillId="0" borderId="3" xfId="0" applyNumberFormat="1" applyBorder="1" applyAlignment="1" applyProtection="1">
      <alignment horizontal="right" vertical="center"/>
      <protection locked="0"/>
    </xf>
    <xf numFmtId="0" fontId="5" fillId="0" borderId="2" xfId="0" applyFont="1" applyBorder="1" applyAlignment="1">
      <alignment vertical="center" wrapText="1"/>
    </xf>
    <xf numFmtId="175" fontId="5" fillId="2" borderId="2" xfId="0" applyNumberFormat="1" applyFont="1" applyFill="1" applyBorder="1" applyAlignment="1" applyProtection="1">
      <alignment vertical="center"/>
      <protection locked="0"/>
    </xf>
    <xf numFmtId="49" fontId="5" fillId="0" borderId="0" xfId="0" applyNumberFormat="1" applyFont="1" applyAlignment="1">
      <alignment horizontal="center" vertical="center"/>
    </xf>
    <xf numFmtId="49" fontId="7" fillId="0" borderId="3" xfId="0" applyNumberFormat="1" applyFont="1" applyBorder="1" applyAlignment="1">
      <alignment horizontal="center" vertical="center"/>
    </xf>
    <xf numFmtId="0" fontId="0" fillId="0" borderId="2" xfId="0" applyBorder="1" applyAlignment="1">
      <alignment horizontal="center" vertical="center" wrapText="1"/>
    </xf>
    <xf numFmtId="49" fontId="0" fillId="0" borderId="2" xfId="0" applyNumberFormat="1" applyBorder="1" applyAlignment="1">
      <alignment horizontal="center" vertical="center"/>
    </xf>
    <xf numFmtId="165" fontId="1" fillId="0" borderId="1" xfId="0" applyNumberFormat="1" applyFont="1" applyBorder="1" applyAlignment="1">
      <alignment vertical="center"/>
    </xf>
    <xf numFmtId="37" fontId="5" fillId="2" borderId="2" xfId="0" applyNumberFormat="1" applyFont="1" applyFill="1" applyBorder="1" applyAlignment="1" applyProtection="1">
      <alignment vertical="center"/>
      <protection locked="0"/>
    </xf>
    <xf numFmtId="10" fontId="0" fillId="0" borderId="0" xfId="0" applyNumberFormat="1"/>
    <xf numFmtId="42" fontId="0" fillId="0" borderId="0" xfId="0" applyNumberFormat="1"/>
    <xf numFmtId="176" fontId="5" fillId="2" borderId="2" xfId="0" applyNumberFormat="1" applyFont="1" applyFill="1" applyBorder="1" applyAlignment="1" applyProtection="1">
      <alignment vertical="center"/>
      <protection locked="0"/>
    </xf>
    <xf numFmtId="42" fontId="0" fillId="0" borderId="4" xfId="0" applyNumberFormat="1" applyBorder="1" applyAlignment="1">
      <alignment horizontal="left" vertical="center" indent="9"/>
    </xf>
    <xf numFmtId="0" fontId="5" fillId="0" borderId="4" xfId="0" applyFont="1" applyBorder="1" applyAlignment="1">
      <alignment vertical="center"/>
    </xf>
    <xf numFmtId="176" fontId="5" fillId="2" borderId="4" xfId="0" applyNumberFormat="1" applyFont="1" applyFill="1" applyBorder="1" applyAlignment="1" applyProtection="1">
      <alignment vertical="center"/>
      <protection locked="0"/>
    </xf>
    <xf numFmtId="168" fontId="5" fillId="2" borderId="4" xfId="0" applyNumberFormat="1" applyFont="1" applyFill="1" applyBorder="1" applyAlignment="1" applyProtection="1">
      <alignment vertical="center"/>
      <protection locked="0"/>
    </xf>
    <xf numFmtId="165" fontId="5" fillId="2" borderId="2" xfId="0" applyNumberFormat="1" applyFont="1" applyFill="1" applyBorder="1" applyAlignment="1" applyProtection="1">
      <alignment vertical="center"/>
      <protection locked="0"/>
    </xf>
    <xf numFmtId="165" fontId="0" fillId="0" borderId="2" xfId="0" applyNumberFormat="1" applyBorder="1" applyAlignment="1">
      <alignment horizontal="left" vertical="center"/>
    </xf>
    <xf numFmtId="165" fontId="0" fillId="0" borderId="4" xfId="0" applyNumberFormat="1" applyBorder="1" applyAlignment="1">
      <alignment horizontal="left" vertical="center"/>
    </xf>
    <xf numFmtId="0" fontId="0" fillId="0" borderId="2" xfId="0" applyBorder="1" applyAlignment="1">
      <alignment horizontal="left" vertical="center"/>
    </xf>
    <xf numFmtId="177" fontId="5" fillId="2" borderId="4" xfId="0" applyNumberFormat="1" applyFont="1" applyFill="1" applyBorder="1" applyAlignment="1" applyProtection="1">
      <alignment vertical="center"/>
      <protection locked="0"/>
    </xf>
    <xf numFmtId="0" fontId="0" fillId="0" borderId="2" xfId="0" applyBorder="1" applyAlignment="1">
      <alignment vertical="center" wrapText="1"/>
    </xf>
    <xf numFmtId="49" fontId="5" fillId="0" borderId="3" xfId="0" applyNumberFormat="1" applyFont="1" applyBorder="1" applyAlignment="1">
      <alignment horizontal="center" vertical="center"/>
    </xf>
    <xf numFmtId="179" fontId="0" fillId="0" borderId="2" xfId="0" applyNumberFormat="1" applyBorder="1" applyAlignment="1">
      <alignment vertical="center"/>
    </xf>
    <xf numFmtId="2" fontId="0" fillId="0" borderId="0" xfId="0" applyNumberFormat="1" applyAlignment="1">
      <alignment vertical="center"/>
    </xf>
    <xf numFmtId="180" fontId="0" fillId="0" borderId="2" xfId="0" applyNumberFormat="1" applyBorder="1" applyAlignment="1">
      <alignment vertical="center"/>
    </xf>
    <xf numFmtId="181" fontId="5" fillId="2" borderId="2" xfId="0" applyNumberFormat="1" applyFont="1" applyFill="1" applyBorder="1" applyAlignment="1" applyProtection="1">
      <alignment vertical="center"/>
      <protection locked="0"/>
    </xf>
    <xf numFmtId="49" fontId="0" fillId="0" borderId="2" xfId="0" applyNumberFormat="1" applyBorder="1" applyAlignment="1">
      <alignment vertical="center" wrapText="1"/>
    </xf>
    <xf numFmtId="182" fontId="5" fillId="0" borderId="2" xfId="0" applyNumberFormat="1" applyFont="1" applyBorder="1" applyAlignment="1">
      <alignment vertical="center"/>
    </xf>
    <xf numFmtId="0" fontId="0" fillId="0" borderId="4" xfId="0" applyBorder="1" applyAlignment="1">
      <alignment vertical="center"/>
    </xf>
    <xf numFmtId="0" fontId="0" fillId="0" borderId="12" xfId="0" applyBorder="1" applyAlignment="1">
      <alignment vertical="center"/>
    </xf>
    <xf numFmtId="0" fontId="0" fillId="0" borderId="15" xfId="0" applyBorder="1" applyAlignment="1">
      <alignment vertical="center"/>
    </xf>
    <xf numFmtId="0" fontId="0" fillId="0" borderId="12" xfId="0" applyBorder="1" applyAlignment="1">
      <alignment horizontal="right" vertical="center"/>
    </xf>
    <xf numFmtId="0" fontId="0" fillId="0" borderId="11"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4" xfId="0" applyBorder="1"/>
    <xf numFmtId="165" fontId="0" fillId="0" borderId="0" xfId="0" applyNumberFormat="1" applyAlignment="1">
      <alignment vertical="center"/>
    </xf>
    <xf numFmtId="3" fontId="0" fillId="0" borderId="12" xfId="0" applyNumberFormat="1" applyBorder="1" applyAlignment="1">
      <alignment horizontal="right" vertical="center"/>
    </xf>
    <xf numFmtId="14" fontId="0" fillId="0" borderId="0" xfId="0" applyNumberFormat="1" applyAlignment="1">
      <alignment horizontal="right" vertical="center" wrapText="1"/>
    </xf>
    <xf numFmtId="0" fontId="1" fillId="0" borderId="0" xfId="0" applyFont="1" applyAlignment="1">
      <alignment horizontal="center" vertical="center"/>
    </xf>
    <xf numFmtId="49" fontId="7" fillId="0" borderId="3" xfId="0" applyNumberFormat="1" applyFont="1" applyBorder="1" applyAlignment="1">
      <alignment vertical="center"/>
    </xf>
    <xf numFmtId="0" fontId="0" fillId="0" borderId="4" xfId="0" applyBorder="1" applyAlignment="1">
      <alignment horizontal="center" vertical="center" wrapText="1"/>
    </xf>
    <xf numFmtId="0" fontId="0" fillId="0" borderId="4" xfId="0" applyBorder="1" applyAlignment="1">
      <alignment horizontal="right" vertical="center"/>
    </xf>
    <xf numFmtId="0" fontId="0" fillId="0" borderId="17" xfId="0" applyBorder="1"/>
    <xf numFmtId="0" fontId="0" fillId="0" borderId="18" xfId="0" applyBorder="1"/>
    <xf numFmtId="0" fontId="0" fillId="0" borderId="16" xfId="0" applyBorder="1"/>
    <xf numFmtId="0" fontId="0" fillId="0" borderId="19" xfId="0" applyBorder="1"/>
    <xf numFmtId="0" fontId="0" fillId="0" borderId="20" xfId="0" applyBorder="1"/>
    <xf numFmtId="49" fontId="7" fillId="0" borderId="0" xfId="0" applyNumberFormat="1" applyFont="1" applyAlignment="1">
      <alignment horizontal="center" vertical="center"/>
    </xf>
    <xf numFmtId="0" fontId="0" fillId="0" borderId="2" xfId="0" applyBorder="1" applyAlignment="1">
      <alignment vertical="top" wrapText="1"/>
    </xf>
    <xf numFmtId="9" fontId="5" fillId="2" borderId="5" xfId="0" applyNumberFormat="1" applyFont="1" applyFill="1" applyBorder="1" applyAlignment="1">
      <alignment horizontal="center" vertical="center"/>
    </xf>
    <xf numFmtId="0" fontId="11" fillId="4" borderId="22" xfId="0" applyFont="1" applyFill="1" applyBorder="1"/>
    <xf numFmtId="0" fontId="11" fillId="4" borderId="24" xfId="0" applyFont="1" applyFill="1" applyBorder="1"/>
    <xf numFmtId="0" fontId="11" fillId="4" borderId="26" xfId="0" applyFont="1" applyFill="1" applyBorder="1"/>
    <xf numFmtId="14" fontId="0" fillId="3" borderId="25" xfId="0" applyNumberFormat="1" applyFill="1" applyBorder="1" applyAlignment="1">
      <alignment horizontal="center"/>
    </xf>
    <xf numFmtId="3" fontId="0" fillId="3" borderId="23" xfId="0" applyNumberFormat="1" applyFill="1" applyBorder="1" applyAlignment="1">
      <alignment horizontal="center"/>
    </xf>
    <xf numFmtId="174" fontId="0" fillId="3" borderId="27" xfId="0" applyNumberFormat="1" applyFill="1" applyBorder="1" applyAlignment="1">
      <alignment horizontal="center"/>
    </xf>
    <xf numFmtId="3" fontId="0" fillId="0" borderId="0" xfId="0" applyNumberFormat="1"/>
    <xf numFmtId="174" fontId="0" fillId="0" borderId="0" xfId="0" applyNumberFormat="1"/>
    <xf numFmtId="3" fontId="0" fillId="0" borderId="15" xfId="0" applyNumberFormat="1" applyBorder="1" applyAlignment="1">
      <alignment horizontal="right" vertical="center"/>
    </xf>
    <xf numFmtId="0" fontId="11" fillId="6" borderId="26" xfId="0" applyFont="1" applyFill="1" applyBorder="1"/>
    <xf numFmtId="3" fontId="0" fillId="6" borderId="27" xfId="0" applyNumberFormat="1" applyFill="1" applyBorder="1" applyAlignment="1">
      <alignment horizontal="center"/>
    </xf>
    <xf numFmtId="0" fontId="14" fillId="4" borderId="0" xfId="0" applyFont="1" applyFill="1"/>
    <xf numFmtId="14" fontId="0" fillId="0" borderId="0" xfId="0" applyNumberFormat="1" applyAlignment="1">
      <alignment horizontal="center" vertical="center"/>
    </xf>
    <xf numFmtId="1" fontId="0" fillId="0" borderId="12" xfId="0" applyNumberFormat="1" applyBorder="1" applyAlignment="1">
      <alignment horizontal="right" vertical="center"/>
    </xf>
    <xf numFmtId="0" fontId="1" fillId="0" borderId="2" xfId="0" applyFont="1" applyBorder="1" applyAlignment="1">
      <alignment horizontal="left" vertical="center"/>
    </xf>
    <xf numFmtId="49" fontId="7" fillId="0" borderId="2" xfId="0" applyNumberFormat="1" applyFont="1" applyBorder="1" applyAlignment="1">
      <alignment horizontal="right" vertical="center"/>
    </xf>
    <xf numFmtId="49" fontId="0" fillId="0" borderId="2" xfId="0" applyNumberFormat="1" applyBorder="1" applyAlignment="1">
      <alignment horizontal="center" vertical="center"/>
    </xf>
    <xf numFmtId="0" fontId="0" fillId="0" borderId="2" xfId="0" applyBorder="1" applyAlignment="1">
      <alignment horizontal="left" vertical="top" wrapText="1"/>
    </xf>
    <xf numFmtId="0" fontId="0" fillId="0" borderId="2" xfId="0" applyBorder="1" applyAlignment="1">
      <alignment horizontal="left" vertical="center"/>
    </xf>
    <xf numFmtId="0" fontId="0" fillId="0" borderId="2" xfId="0" applyBorder="1" applyAlignment="1">
      <alignment horizontal="left" vertical="center" wrapText="1"/>
    </xf>
    <xf numFmtId="0" fontId="1" fillId="0" borderId="2" xfId="0" applyFont="1" applyBorder="1" applyAlignment="1">
      <alignment vertical="center"/>
    </xf>
    <xf numFmtId="49" fontId="5" fillId="0" borderId="2" xfId="0" applyNumberFormat="1" applyFont="1" applyBorder="1" applyAlignment="1">
      <alignment horizontal="center" vertical="center"/>
    </xf>
    <xf numFmtId="0" fontId="0" fillId="2" borderId="2" xfId="0" applyFill="1"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1" fillId="0" borderId="2" xfId="0" applyFont="1" applyBorder="1" applyAlignment="1">
      <alignment horizontal="left" vertical="center" wrapText="1"/>
    </xf>
    <xf numFmtId="0" fontId="1" fillId="0" borderId="3" xfId="0" applyFont="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0" borderId="3" xfId="0" applyBorder="1" applyAlignment="1" applyProtection="1">
      <alignment horizontal="right" vertical="center"/>
      <protection locked="0"/>
    </xf>
    <xf numFmtId="0" fontId="0" fillId="0" borderId="2" xfId="0" applyBorder="1" applyAlignment="1">
      <alignment horizontal="center" vertical="center"/>
    </xf>
    <xf numFmtId="9" fontId="5" fillId="0" borderId="2" xfId="0" applyNumberFormat="1" applyFont="1" applyBorder="1" applyAlignment="1">
      <alignment horizontal="right" vertical="center"/>
    </xf>
    <xf numFmtId="49" fontId="1" fillId="0" borderId="2" xfId="0" applyNumberFormat="1" applyFont="1" applyBorder="1" applyAlignment="1">
      <alignment horizontal="left" vertical="center"/>
    </xf>
    <xf numFmtId="0" fontId="0" fillId="0" borderId="2" xfId="0" applyBorder="1" applyAlignment="1">
      <alignment horizontal="center"/>
    </xf>
    <xf numFmtId="0" fontId="0" fillId="0" borderId="2" xfId="0" applyBorder="1" applyAlignment="1">
      <alignment horizontal="center" vertical="center" wrapText="1"/>
    </xf>
    <xf numFmtId="49" fontId="7" fillId="0" borderId="3" xfId="0" applyNumberFormat="1" applyFont="1" applyBorder="1" applyAlignment="1">
      <alignment horizontal="center" vertical="center"/>
    </xf>
    <xf numFmtId="0" fontId="7" fillId="0" borderId="2" xfId="0" applyFont="1" applyBorder="1" applyAlignment="1">
      <alignment horizontal="right"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49" fontId="5" fillId="0" borderId="4" xfId="0" applyNumberFormat="1" applyFont="1" applyBorder="1" applyAlignment="1">
      <alignment horizontal="center" vertical="center"/>
    </xf>
    <xf numFmtId="49" fontId="7" fillId="0" borderId="0" xfId="0" applyNumberFormat="1" applyFont="1" applyAlignment="1">
      <alignment horizontal="right" vertical="center"/>
    </xf>
    <xf numFmtId="49" fontId="0" fillId="0" borderId="4" xfId="0" applyNumberFormat="1" applyBorder="1" applyAlignment="1">
      <alignment horizontal="center" vertical="center"/>
    </xf>
    <xf numFmtId="0" fontId="1" fillId="0" borderId="6" xfId="0" applyFont="1" applyBorder="1" applyAlignment="1">
      <alignment horizontal="center" vertical="center"/>
    </xf>
    <xf numFmtId="49" fontId="0" fillId="0" borderId="2" xfId="0" applyNumberFormat="1" applyBorder="1" applyAlignment="1">
      <alignment horizontal="left" vertical="center"/>
    </xf>
    <xf numFmtId="0" fontId="0" fillId="0" borderId="7" xfId="0" applyBorder="1" applyAlignment="1">
      <alignment horizontal="left" vertical="top" wrapText="1"/>
    </xf>
    <xf numFmtId="178" fontId="5" fillId="2" borderId="2" xfId="0" applyNumberFormat="1" applyFont="1" applyFill="1" applyBorder="1" applyAlignment="1" applyProtection="1">
      <alignment horizontal="center" vertical="center"/>
      <protection locked="0"/>
    </xf>
    <xf numFmtId="49" fontId="5" fillId="0" borderId="2" xfId="0" applyNumberFormat="1" applyFont="1" applyBorder="1" applyAlignment="1">
      <alignment horizontal="left" vertical="center"/>
    </xf>
    <xf numFmtId="49" fontId="5" fillId="0" borderId="2" xfId="0" applyNumberFormat="1" applyFont="1" applyBorder="1" applyAlignment="1">
      <alignment horizontal="left" vertical="center" wrapText="1"/>
    </xf>
    <xf numFmtId="49" fontId="5" fillId="0" borderId="3" xfId="0" applyNumberFormat="1"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49" fontId="7" fillId="0" borderId="4" xfId="0" applyNumberFormat="1" applyFont="1" applyBorder="1" applyAlignment="1">
      <alignment horizontal="center" vertical="center"/>
    </xf>
    <xf numFmtId="0" fontId="0" fillId="0" borderId="0" xfId="0" applyAlignment="1">
      <alignment horizontal="left" vertical="center" wrapText="1"/>
    </xf>
    <xf numFmtId="14" fontId="0" fillId="0" borderId="0" xfId="0" applyNumberFormat="1" applyAlignment="1">
      <alignment horizontal="left" vertical="center" wrapText="1"/>
    </xf>
    <xf numFmtId="14" fontId="0" fillId="0" borderId="0" xfId="0" applyNumberFormat="1" applyAlignment="1">
      <alignment horizontal="left" vertical="center"/>
    </xf>
    <xf numFmtId="0" fontId="0" fillId="0" borderId="0" xfId="0" applyAlignment="1">
      <alignment horizontal="left" wrapText="1"/>
    </xf>
    <xf numFmtId="0" fontId="0" fillId="0" borderId="0" xfId="0" applyAlignment="1">
      <alignment vertical="top" wrapText="1"/>
    </xf>
    <xf numFmtId="0" fontId="0" fillId="0" borderId="0" xfId="0" applyAlignment="1">
      <alignment horizontal="left" vertical="center"/>
    </xf>
    <xf numFmtId="0" fontId="12" fillId="0" borderId="21" xfId="1" applyBorder="1" applyAlignment="1">
      <alignment horizontal="center" vertical="center"/>
    </xf>
    <xf numFmtId="0" fontId="3" fillId="5" borderId="28" xfId="0" applyFont="1" applyFill="1" applyBorder="1" applyAlignment="1">
      <alignment horizontal="center" vertical="center"/>
    </xf>
    <xf numFmtId="0" fontId="3" fillId="5" borderId="29" xfId="0" applyFont="1" applyFill="1" applyBorder="1" applyAlignment="1">
      <alignment horizontal="center" vertical="center"/>
    </xf>
  </cellXfs>
  <cellStyles count="2">
    <cellStyle name="Hyperlink" xfId="1" builtinId="8"/>
    <cellStyle name="Normal" xfId="0" builtinI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powerPivotData" Target="model/item.data"/><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3.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S\Sveitarf&#233;lagi&#240;%20&#214;lfus_1621\005_Byggingafulltr&#250;i%20&#214;lfuss\07_Almenn%20&#222;j&#243;nusta\Gjaldskr&#225;\1621-005-07-GJS-001-V16-Gjaldskr&#2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ild"/>
      <sheetName val="Úthlutun lóða"/>
      <sheetName val="Kafli 1 Viðbótargjald"/>
      <sheetName val="Kafli 3 Byggingarleyfisgjald"/>
      <sheetName val="Kafli 4 Framkvæmdaleyfisgjad"/>
      <sheetName val="Kafli 5 Skipulagsbreytingar"/>
      <sheetName val="Kafli 6 Gatnagerðargjöld"/>
      <sheetName val="Kafli 7 og 8 - Stofngjöld"/>
      <sheetName val="Uppfærslur"/>
      <sheetName val="Vísitölur"/>
    </sheetNames>
    <sheetDataSet>
      <sheetData sheetId="0">
        <row r="199">
          <cell r="E199" t="str">
            <v>Gjaldskrá fyrir byggingarleyfis- og þjónustugjöld í Svf. Ölfusi 31.1.2019</v>
          </cell>
        </row>
        <row r="201">
          <cell r="E201" t="str">
            <v>Það % hlutfall sem gefið er upp er hlutfall af vísitölu fermetrakostnaði við vísitölu hús byggt á grunni frá 1987.</v>
          </cell>
        </row>
      </sheetData>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Vísitölur_frá_Hagstofu" displayName="Vísitölur_frá_Hagstofu" ref="A1:D2" insertRowShift="1" totalsRowShown="0">
  <autoFilter ref="A1:D2" xr:uid="{554C6CE2-70FB-4754-A37E-D4316831401C}"/>
  <tableColumns count="4">
    <tableColumn id="4" xr3:uid="{00000000-0010-0000-0000-000004000000}" name="Vísitala" dataDxfId="3">
      <calculatedColumnFormula>+B7</calculatedColumnFormula>
    </tableColumn>
    <tableColumn id="2" xr3:uid="{00000000-0010-0000-0000-000002000000}" name="Fermetraverð" dataDxfId="2">
      <calculatedColumnFormula>+B9</calculatedColumnFormula>
    </tableColumn>
    <tableColumn id="3" xr3:uid="{00000000-0010-0000-0000-000003000000}" name="Rúmmetraverð" dataDxfId="1">
      <calculatedColumnFormula>+B8</calculatedColumnFormula>
    </tableColumn>
    <tableColumn id="1" xr3:uid="{35F0E8A3-1058-4874-880D-4B7EC8FC9745}" name="Byggingarvísitala jan" dataDxfId="0">
      <calculatedColumnFormula>+B6</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vmlDrawing" Target="../drawings/vmlDrawing18.v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px.hagstofa.is/pxis/pxweb/is/Efnahagur/Efnahagur__visitolur__2_byggingarvisitala__byggingarvisitala/VIS13001.px/?rxid=1d98e0cb-1d31-4674-ac49-96268647b87e" TargetMode="External"/><Relationship Id="rId1" Type="http://schemas.openxmlformats.org/officeDocument/2006/relationships/hyperlink" Target="https://px.hagstofa.is/pxis/pxweb/is/Efnahagur/Efnahagur__visitolur__2_byggingarvisitala__byggingarvisitala/VIS13501.px/?rxid=1d98e0cb-1d31-4674-ac49-96268647b87e" TargetMode="External"/><Relationship Id="rId6" Type="http://schemas.openxmlformats.org/officeDocument/2006/relationships/comments" Target="../comments10.xml"/><Relationship Id="rId5" Type="http://schemas.openxmlformats.org/officeDocument/2006/relationships/table" Target="../tables/table1.xml"/><Relationship Id="rId4" Type="http://schemas.openxmlformats.org/officeDocument/2006/relationships/vmlDrawing" Target="../drawings/vmlDrawing2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theme="4"/>
    <pageSetUpPr fitToPage="1"/>
  </sheetPr>
  <dimension ref="A1:T238"/>
  <sheetViews>
    <sheetView view="pageBreakPreview" topLeftCell="E176" zoomScaleNormal="100" zoomScaleSheetLayoutView="100" workbookViewId="0">
      <selection activeCell="I194" sqref="I194"/>
    </sheetView>
  </sheetViews>
  <sheetFormatPr defaultColWidth="9.140625" defaultRowHeight="15" outlineLevelCol="1" x14ac:dyDescent="0.25"/>
  <cols>
    <col min="1" max="1" width="9.140625" hidden="1" customWidth="1" outlineLevel="1"/>
    <col min="2" max="2" width="12.5703125" hidden="1" customWidth="1" outlineLevel="1"/>
    <col min="3" max="3" width="9.140625" hidden="1" customWidth="1" outlineLevel="1"/>
    <col min="4" max="4" width="10" hidden="1" customWidth="1" outlineLevel="1"/>
    <col min="5" max="5" width="7.7109375" customWidth="1" collapsed="1"/>
    <col min="6" max="6" width="5.85546875" customWidth="1"/>
    <col min="7" max="7" width="14.42578125" customWidth="1"/>
    <col min="8" max="8" width="15.42578125" customWidth="1"/>
    <col min="9" max="9" width="15.5703125" customWidth="1"/>
    <col min="10" max="10" width="22.28515625" customWidth="1"/>
    <col min="11" max="11" width="5.28515625" customWidth="1"/>
    <col min="12" max="12" width="17.5703125" customWidth="1"/>
    <col min="13" max="13" width="15.42578125" customWidth="1"/>
    <col min="14" max="14" width="19" customWidth="1"/>
    <col min="15" max="15" width="23.7109375" customWidth="1" outlineLevel="1"/>
    <col min="16" max="16" width="24.42578125" customWidth="1" outlineLevel="1"/>
    <col min="17" max="17" width="15.7109375" customWidth="1" outlineLevel="1"/>
    <col min="18" max="18" width="25.85546875" customWidth="1" outlineLevel="1"/>
    <col min="19" max="19" width="9.140625" customWidth="1"/>
  </cols>
  <sheetData>
    <row r="1" spans="1:20" ht="23.25" x14ac:dyDescent="0.25">
      <c r="E1" s="148" t="s">
        <v>1</v>
      </c>
      <c r="F1" s="148"/>
      <c r="G1" s="148"/>
      <c r="H1" s="148"/>
      <c r="I1" s="148"/>
      <c r="J1" s="148"/>
      <c r="K1" s="148"/>
      <c r="L1" s="148"/>
      <c r="M1" s="148"/>
      <c r="O1" s="1"/>
    </row>
    <row r="2" spans="1:20" ht="21" x14ac:dyDescent="0.25">
      <c r="E2" s="149" t="s">
        <v>0</v>
      </c>
      <c r="F2" s="149"/>
      <c r="G2" s="149"/>
      <c r="H2" s="149"/>
      <c r="I2" s="149"/>
      <c r="J2" s="149"/>
      <c r="K2" s="149"/>
      <c r="L2" s="149"/>
      <c r="M2" s="149"/>
      <c r="O2" s="1"/>
    </row>
    <row r="3" spans="1:20" x14ac:dyDescent="0.25">
      <c r="E3" s="49" t="s">
        <v>3</v>
      </c>
      <c r="F3" s="150"/>
      <c r="G3" s="150"/>
      <c r="H3" s="150"/>
      <c r="I3" s="150"/>
      <c r="J3" s="49" t="s">
        <v>4</v>
      </c>
      <c r="K3" s="150"/>
      <c r="L3" s="150"/>
      <c r="M3" s="150"/>
      <c r="O3" s="1"/>
    </row>
    <row r="4" spans="1:20" x14ac:dyDescent="0.25">
      <c r="E4" s="50" t="s">
        <v>133</v>
      </c>
      <c r="F4" s="144"/>
      <c r="G4" s="144"/>
      <c r="H4" s="144"/>
      <c r="I4" s="144"/>
      <c r="J4" s="50" t="s">
        <v>5</v>
      </c>
      <c r="K4" s="144"/>
      <c r="L4" s="144"/>
      <c r="M4" s="144"/>
      <c r="O4" s="1"/>
    </row>
    <row r="5" spans="1:20" x14ac:dyDescent="0.25">
      <c r="E5" s="50" t="s">
        <v>2</v>
      </c>
      <c r="F5" s="144"/>
      <c r="G5" s="144"/>
      <c r="H5" s="144"/>
      <c r="I5" s="144"/>
      <c r="J5" s="50" t="s">
        <v>6</v>
      </c>
      <c r="K5" s="144"/>
      <c r="L5" s="144"/>
      <c r="M5" s="144"/>
    </row>
    <row r="6" spans="1:20" x14ac:dyDescent="0.25">
      <c r="E6" s="51" t="s">
        <v>134</v>
      </c>
      <c r="F6" s="144"/>
      <c r="G6" s="144"/>
      <c r="H6" s="144"/>
      <c r="I6" s="144"/>
      <c r="J6" s="50" t="s">
        <v>7</v>
      </c>
      <c r="K6" s="144"/>
      <c r="L6" s="144"/>
      <c r="M6" s="144"/>
    </row>
    <row r="7" spans="1:20" x14ac:dyDescent="0.25">
      <c r="E7" s="151"/>
      <c r="F7" s="151"/>
      <c r="G7" s="151"/>
      <c r="H7" s="151"/>
      <c r="I7" s="151"/>
      <c r="J7" s="151"/>
      <c r="K7" s="151"/>
      <c r="L7" s="151"/>
      <c r="M7" s="151"/>
    </row>
    <row r="8" spans="1:20" ht="15.75" thickBot="1" x14ac:dyDescent="0.3">
      <c r="A8" s="25" t="s">
        <v>53</v>
      </c>
      <c r="E8" s="145"/>
      <c r="F8" s="145"/>
      <c r="G8" s="145"/>
      <c r="H8" s="145"/>
      <c r="I8" s="145"/>
      <c r="J8" s="52" t="s">
        <v>100</v>
      </c>
      <c r="K8" s="52" t="s">
        <v>105</v>
      </c>
      <c r="L8" s="52" t="s">
        <v>102</v>
      </c>
      <c r="M8" s="52" t="s">
        <v>101</v>
      </c>
    </row>
    <row r="9" spans="1:20" ht="2.25" customHeight="1" thickTop="1" x14ac:dyDescent="0.25">
      <c r="A9" s="25"/>
      <c r="E9" s="61"/>
      <c r="F9" s="61"/>
      <c r="G9" s="61"/>
      <c r="H9" s="61"/>
      <c r="I9" s="61"/>
      <c r="J9" s="57"/>
      <c r="K9" s="57"/>
      <c r="L9" s="57"/>
      <c r="M9" s="57"/>
    </row>
    <row r="10" spans="1:20" ht="15" customHeight="1" x14ac:dyDescent="0.25">
      <c r="A10" s="25"/>
      <c r="E10" s="16" t="s">
        <v>240</v>
      </c>
      <c r="F10" s="147" t="s">
        <v>241</v>
      </c>
      <c r="G10" s="147"/>
      <c r="H10" s="147"/>
      <c r="I10" s="147"/>
      <c r="J10" s="147"/>
      <c r="K10" s="147"/>
      <c r="L10" s="147"/>
      <c r="M10" s="147"/>
    </row>
    <row r="11" spans="1:20" ht="30" customHeight="1" x14ac:dyDescent="0.25">
      <c r="A11" s="25"/>
      <c r="E11" s="46"/>
      <c r="F11" s="141" t="s">
        <v>242</v>
      </c>
      <c r="G11" s="141"/>
      <c r="H11" s="141"/>
      <c r="I11" s="141"/>
      <c r="J11" s="40">
        <f>22213*($I$231/$I$230)</f>
        <v>32148.178345737957</v>
      </c>
      <c r="K11" s="71" t="s">
        <v>243</v>
      </c>
      <c r="L11" s="72">
        <v>0</v>
      </c>
      <c r="M11" s="4">
        <f>+L11*J11</f>
        <v>0</v>
      </c>
    </row>
    <row r="12" spans="1:20" ht="30" customHeight="1" x14ac:dyDescent="0.25">
      <c r="A12" s="25"/>
      <c r="E12" s="73"/>
      <c r="F12" s="141" t="s">
        <v>244</v>
      </c>
      <c r="G12" s="141"/>
      <c r="H12" s="141"/>
      <c r="I12" s="141"/>
      <c r="J12" s="153" t="s">
        <v>67</v>
      </c>
      <c r="K12" s="153"/>
      <c r="L12" s="9"/>
      <c r="M12" s="15">
        <v>0</v>
      </c>
    </row>
    <row r="13" spans="1:20" ht="15" customHeight="1" x14ac:dyDescent="0.25">
      <c r="A13" s="25"/>
      <c r="E13" s="61"/>
      <c r="F13" s="61"/>
      <c r="G13" s="61"/>
      <c r="H13" s="61"/>
      <c r="I13" s="61"/>
      <c r="J13" s="57"/>
      <c r="K13" s="57"/>
      <c r="L13" s="57"/>
      <c r="M13" s="57"/>
    </row>
    <row r="14" spans="1:20" ht="25.5" customHeight="1" x14ac:dyDescent="0.25">
      <c r="A14" s="25"/>
      <c r="E14" s="16" t="s">
        <v>13</v>
      </c>
      <c r="F14" s="136" t="s">
        <v>148</v>
      </c>
      <c r="G14" s="136"/>
      <c r="H14" s="136"/>
      <c r="I14" s="136"/>
      <c r="J14" s="136"/>
      <c r="K14" s="136"/>
      <c r="L14" s="136"/>
      <c r="M14" s="136"/>
    </row>
    <row r="15" spans="1:20" x14ac:dyDescent="0.25">
      <c r="A15" s="27">
        <v>0.85</v>
      </c>
      <c r="B15" s="1"/>
      <c r="D15" s="26"/>
      <c r="E15" s="46" t="s">
        <v>108</v>
      </c>
      <c r="F15" s="141" t="s">
        <v>11</v>
      </c>
      <c r="G15" s="141"/>
      <c r="H15" s="141"/>
      <c r="I15" s="141"/>
      <c r="J15" s="40">
        <f>$I$234*A15</f>
        <v>273288.59999999998</v>
      </c>
      <c r="K15" s="9" t="s">
        <v>123</v>
      </c>
      <c r="L15" s="18">
        <v>0</v>
      </c>
      <c r="M15" s="4">
        <f>+L15*J15</f>
        <v>0</v>
      </c>
      <c r="P15" s="3"/>
    </row>
    <row r="16" spans="1:20" x14ac:dyDescent="0.25">
      <c r="A16" s="27">
        <v>0.65</v>
      </c>
      <c r="B16" s="1"/>
      <c r="D16" s="26"/>
      <c r="E16" s="46" t="s">
        <v>109</v>
      </c>
      <c r="F16" s="141" t="s">
        <v>122</v>
      </c>
      <c r="G16" s="141"/>
      <c r="H16" s="141"/>
      <c r="I16" s="141"/>
      <c r="J16" s="39">
        <f>$I$234*A16</f>
        <v>208985.4</v>
      </c>
      <c r="K16" s="9" t="s">
        <v>123</v>
      </c>
      <c r="L16" s="18"/>
      <c r="M16" s="4">
        <f>+L16*J16</f>
        <v>0</v>
      </c>
      <c r="P16" s="3"/>
      <c r="S16" s="1"/>
      <c r="T16" s="3"/>
    </row>
    <row r="17" spans="1:20" x14ac:dyDescent="0.25">
      <c r="A17" s="27">
        <v>0.5</v>
      </c>
      <c r="D17" s="26"/>
      <c r="E17" s="46" t="s">
        <v>110</v>
      </c>
      <c r="F17" s="141" t="s">
        <v>8</v>
      </c>
      <c r="G17" s="141"/>
      <c r="H17" s="141"/>
      <c r="I17" s="141"/>
      <c r="J17" s="39">
        <f>$I$234*A17</f>
        <v>160758</v>
      </c>
      <c r="K17" s="9" t="s">
        <v>123</v>
      </c>
      <c r="L17" s="18">
        <v>0</v>
      </c>
      <c r="M17" s="4">
        <f>+L17*J17</f>
        <v>0</v>
      </c>
      <c r="S17" s="1"/>
      <c r="T17" s="3"/>
    </row>
    <row r="18" spans="1:20" ht="30" customHeight="1" x14ac:dyDescent="0.25">
      <c r="D18" s="26"/>
      <c r="E18" s="46" t="s">
        <v>111</v>
      </c>
      <c r="F18" s="141" t="s">
        <v>33</v>
      </c>
      <c r="G18" s="141"/>
      <c r="H18" s="141"/>
      <c r="I18" s="141"/>
      <c r="J18" s="40"/>
      <c r="K18" s="9"/>
      <c r="L18" s="9"/>
      <c r="M18" s="4"/>
      <c r="S18" s="1"/>
      <c r="T18" s="3"/>
    </row>
    <row r="19" spans="1:20" x14ac:dyDescent="0.25">
      <c r="A19" s="27">
        <v>0.25</v>
      </c>
      <c r="D19" s="26"/>
      <c r="E19" s="46" t="s">
        <v>32</v>
      </c>
      <c r="F19" s="141" t="s">
        <v>54</v>
      </c>
      <c r="G19" s="141"/>
      <c r="H19" s="141"/>
      <c r="I19" s="141"/>
      <c r="J19" s="40">
        <f t="shared" ref="J19:J26" si="0">$I$234*A19</f>
        <v>80379</v>
      </c>
      <c r="K19" s="9" t="s">
        <v>123</v>
      </c>
      <c r="L19" s="18">
        <v>0</v>
      </c>
      <c r="M19" s="4">
        <f t="shared" ref="M19:M26" si="1">+L19*J19</f>
        <v>0</v>
      </c>
      <c r="S19" s="1"/>
      <c r="T19" s="3"/>
    </row>
    <row r="20" spans="1:20" x14ac:dyDescent="0.25">
      <c r="A20" s="27">
        <v>0.45</v>
      </c>
      <c r="D20" s="26"/>
      <c r="E20" s="46" t="s">
        <v>32</v>
      </c>
      <c r="F20" s="141" t="s">
        <v>55</v>
      </c>
      <c r="G20" s="141"/>
      <c r="H20" s="141"/>
      <c r="I20" s="141"/>
      <c r="J20" s="40">
        <f t="shared" si="0"/>
        <v>144682.20000000001</v>
      </c>
      <c r="K20" s="9" t="s">
        <v>123</v>
      </c>
      <c r="L20" s="18">
        <v>0</v>
      </c>
      <c r="M20" s="4">
        <f t="shared" si="1"/>
        <v>0</v>
      </c>
      <c r="S20" s="1"/>
      <c r="T20" s="3"/>
    </row>
    <row r="21" spans="1:20" x14ac:dyDescent="0.25">
      <c r="A21" s="27">
        <v>0.55000000000000004</v>
      </c>
      <c r="D21" s="26"/>
      <c r="E21" s="46" t="s">
        <v>32</v>
      </c>
      <c r="F21" s="141" t="s">
        <v>56</v>
      </c>
      <c r="G21" s="141"/>
      <c r="H21" s="141"/>
      <c r="I21" s="141"/>
      <c r="J21" s="40">
        <f t="shared" si="0"/>
        <v>176833.80000000002</v>
      </c>
      <c r="K21" s="9" t="s">
        <v>123</v>
      </c>
      <c r="L21" s="18">
        <v>0</v>
      </c>
      <c r="M21" s="4">
        <f t="shared" si="1"/>
        <v>0</v>
      </c>
    </row>
    <row r="22" spans="1:20" x14ac:dyDescent="0.25">
      <c r="A22" s="27">
        <v>0.1</v>
      </c>
      <c r="D22" s="26"/>
      <c r="E22" s="46" t="s">
        <v>112</v>
      </c>
      <c r="F22" s="141" t="s">
        <v>157</v>
      </c>
      <c r="G22" s="141"/>
      <c r="H22" s="141"/>
      <c r="I22" s="141"/>
      <c r="J22" s="40">
        <f t="shared" si="0"/>
        <v>32151.600000000002</v>
      </c>
      <c r="K22" s="9" t="s">
        <v>123</v>
      </c>
      <c r="L22" s="18">
        <v>0</v>
      </c>
      <c r="M22" s="4">
        <f t="shared" si="1"/>
        <v>0</v>
      </c>
    </row>
    <row r="23" spans="1:20" x14ac:dyDescent="0.25">
      <c r="A23" s="27">
        <v>0.25</v>
      </c>
      <c r="D23" s="26"/>
      <c r="E23" s="46" t="s">
        <v>158</v>
      </c>
      <c r="F23" s="141" t="s">
        <v>159</v>
      </c>
      <c r="G23" s="141"/>
      <c r="H23" s="141"/>
      <c r="I23" s="141"/>
      <c r="J23" s="40">
        <f t="shared" si="0"/>
        <v>80379</v>
      </c>
      <c r="K23" s="9" t="s">
        <v>123</v>
      </c>
      <c r="L23" s="18">
        <v>0</v>
      </c>
      <c r="M23" s="4">
        <f t="shared" si="1"/>
        <v>0</v>
      </c>
    </row>
    <row r="24" spans="1:20" x14ac:dyDescent="0.25">
      <c r="A24" s="27">
        <v>0.45</v>
      </c>
      <c r="D24" s="26"/>
      <c r="E24" s="46" t="s">
        <v>160</v>
      </c>
      <c r="F24" s="141" t="s">
        <v>12</v>
      </c>
      <c r="G24" s="141"/>
      <c r="H24" s="141"/>
      <c r="I24" s="141"/>
      <c r="J24" s="40">
        <f t="shared" si="0"/>
        <v>144682.20000000001</v>
      </c>
      <c r="K24" s="9" t="s">
        <v>123</v>
      </c>
      <c r="L24" s="18">
        <v>0</v>
      </c>
      <c r="M24" s="4">
        <f t="shared" si="1"/>
        <v>0</v>
      </c>
    </row>
    <row r="25" spans="1:20" x14ac:dyDescent="0.25">
      <c r="A25" s="27">
        <v>0.5</v>
      </c>
      <c r="D25" s="26"/>
      <c r="E25" s="46" t="s">
        <v>161</v>
      </c>
      <c r="F25" s="141" t="s">
        <v>34</v>
      </c>
      <c r="G25" s="141"/>
      <c r="H25" s="141"/>
      <c r="I25" s="141"/>
      <c r="J25" s="40">
        <f t="shared" si="0"/>
        <v>160758</v>
      </c>
      <c r="K25" s="9" t="s">
        <v>123</v>
      </c>
      <c r="L25" s="18">
        <v>0</v>
      </c>
      <c r="M25" s="4">
        <f t="shared" si="1"/>
        <v>0</v>
      </c>
    </row>
    <row r="26" spans="1:20" x14ac:dyDescent="0.25">
      <c r="A26" s="27">
        <v>0.65</v>
      </c>
      <c r="D26" s="26"/>
      <c r="E26" s="46" t="s">
        <v>162</v>
      </c>
      <c r="F26" s="141" t="s">
        <v>121</v>
      </c>
      <c r="G26" s="141"/>
      <c r="H26" s="141"/>
      <c r="I26" s="141"/>
      <c r="J26" s="40">
        <f t="shared" si="0"/>
        <v>208985.4</v>
      </c>
      <c r="K26" s="9" t="s">
        <v>123</v>
      </c>
      <c r="L26" s="18">
        <v>0</v>
      </c>
      <c r="M26" s="4">
        <f t="shared" si="1"/>
        <v>0</v>
      </c>
    </row>
    <row r="27" spans="1:20" x14ac:dyDescent="0.25">
      <c r="D27" s="26"/>
      <c r="E27" s="138"/>
      <c r="F27" s="138"/>
      <c r="G27" s="138"/>
      <c r="H27" s="138"/>
      <c r="I27" s="138"/>
      <c r="J27" s="138"/>
      <c r="K27" s="138"/>
      <c r="L27" s="138"/>
      <c r="M27" s="138"/>
    </row>
    <row r="28" spans="1:20" x14ac:dyDescent="0.25">
      <c r="C28" s="28"/>
      <c r="D28" s="26"/>
      <c r="E28" s="16" t="s">
        <v>14</v>
      </c>
      <c r="F28" s="136" t="s">
        <v>15</v>
      </c>
      <c r="G28" s="136"/>
      <c r="H28" s="136"/>
      <c r="I28" s="136"/>
      <c r="J28" s="136"/>
      <c r="K28" s="136"/>
      <c r="L28" s="136"/>
      <c r="M28" s="136"/>
    </row>
    <row r="29" spans="1:20" x14ac:dyDescent="0.25">
      <c r="A29" s="27">
        <v>0.12</v>
      </c>
      <c r="D29" s="26"/>
      <c r="E29" s="46" t="s">
        <v>16</v>
      </c>
      <c r="F29" s="140" t="s">
        <v>35</v>
      </c>
      <c r="G29" s="140"/>
      <c r="H29" s="140"/>
      <c r="I29" s="140"/>
      <c r="J29" s="38">
        <f t="shared" ref="J29:J35" si="2">$I$234*A29</f>
        <v>38581.919999999998</v>
      </c>
      <c r="K29" s="9" t="s">
        <v>123</v>
      </c>
      <c r="L29" s="18">
        <v>0</v>
      </c>
      <c r="M29" s="4">
        <f t="shared" ref="M29:M35" si="3">+L29*J29</f>
        <v>0</v>
      </c>
    </row>
    <row r="30" spans="1:20" x14ac:dyDescent="0.25">
      <c r="A30" s="27">
        <v>0.3</v>
      </c>
      <c r="D30" s="26"/>
      <c r="E30" s="46" t="s">
        <v>19</v>
      </c>
      <c r="F30" s="140" t="s">
        <v>36</v>
      </c>
      <c r="G30" s="140"/>
      <c r="H30" s="140"/>
      <c r="I30" s="140"/>
      <c r="J30" s="38">
        <f t="shared" si="2"/>
        <v>96454.8</v>
      </c>
      <c r="K30" s="9" t="s">
        <v>123</v>
      </c>
      <c r="L30" s="18">
        <v>0</v>
      </c>
      <c r="M30" s="4">
        <f t="shared" si="3"/>
        <v>0</v>
      </c>
    </row>
    <row r="31" spans="1:20" x14ac:dyDescent="0.25">
      <c r="A31" s="27">
        <v>0.55000000000000004</v>
      </c>
      <c r="D31" s="26"/>
      <c r="E31" s="46" t="s">
        <v>17</v>
      </c>
      <c r="F31" s="140" t="s">
        <v>37</v>
      </c>
      <c r="G31" s="140"/>
      <c r="H31" s="140"/>
      <c r="I31" s="140"/>
      <c r="J31" s="38">
        <f t="shared" si="2"/>
        <v>176833.80000000002</v>
      </c>
      <c r="K31" s="9" t="s">
        <v>123</v>
      </c>
      <c r="L31" s="18">
        <v>0</v>
      </c>
      <c r="M31" s="4">
        <f t="shared" si="3"/>
        <v>0</v>
      </c>
    </row>
    <row r="32" spans="1:20" x14ac:dyDescent="0.25">
      <c r="A32" s="27">
        <v>1.25</v>
      </c>
      <c r="D32" s="26"/>
      <c r="E32" s="46" t="s">
        <v>20</v>
      </c>
      <c r="F32" s="140" t="s">
        <v>38</v>
      </c>
      <c r="G32" s="140"/>
      <c r="H32" s="140"/>
      <c r="I32" s="140"/>
      <c r="J32" s="38">
        <f t="shared" si="2"/>
        <v>401895</v>
      </c>
      <c r="K32" s="9" t="s">
        <v>123</v>
      </c>
      <c r="L32" s="18">
        <v>0</v>
      </c>
      <c r="M32" s="4">
        <f t="shared" si="3"/>
        <v>0</v>
      </c>
    </row>
    <row r="33" spans="1:13" x14ac:dyDescent="0.25">
      <c r="A33" s="27">
        <v>1.8</v>
      </c>
      <c r="D33" s="26"/>
      <c r="E33" s="46" t="s">
        <v>18</v>
      </c>
      <c r="F33" s="140" t="s">
        <v>40</v>
      </c>
      <c r="G33" s="140"/>
      <c r="H33" s="140"/>
      <c r="I33" s="140"/>
      <c r="J33" s="38">
        <f t="shared" si="2"/>
        <v>578728.80000000005</v>
      </c>
      <c r="K33" s="9" t="s">
        <v>123</v>
      </c>
      <c r="L33" s="18">
        <v>0</v>
      </c>
      <c r="M33" s="4">
        <f t="shared" si="3"/>
        <v>0</v>
      </c>
    </row>
    <row r="34" spans="1:13" x14ac:dyDescent="0.25">
      <c r="A34" s="27">
        <v>2.6</v>
      </c>
      <c r="D34" s="26"/>
      <c r="E34" s="46" t="s">
        <v>21</v>
      </c>
      <c r="F34" s="140" t="s">
        <v>39</v>
      </c>
      <c r="G34" s="140"/>
      <c r="H34" s="140"/>
      <c r="I34" s="140"/>
      <c r="J34" s="38">
        <f t="shared" si="2"/>
        <v>835941.6</v>
      </c>
      <c r="K34" s="9" t="s">
        <v>123</v>
      </c>
      <c r="L34" s="18">
        <v>0</v>
      </c>
      <c r="M34" s="4">
        <f t="shared" si="3"/>
        <v>0</v>
      </c>
    </row>
    <row r="35" spans="1:13" x14ac:dyDescent="0.25">
      <c r="A35" s="27">
        <v>3.8</v>
      </c>
      <c r="D35" s="26"/>
      <c r="E35" s="46" t="s">
        <v>22</v>
      </c>
      <c r="F35" s="140" t="s">
        <v>41</v>
      </c>
      <c r="G35" s="140"/>
      <c r="H35" s="140"/>
      <c r="I35" s="140"/>
      <c r="J35" s="38">
        <f t="shared" si="2"/>
        <v>1221760.8</v>
      </c>
      <c r="K35" s="9" t="s">
        <v>123</v>
      </c>
      <c r="L35" s="18">
        <v>0</v>
      </c>
      <c r="M35" s="4">
        <f t="shared" si="3"/>
        <v>0</v>
      </c>
    </row>
    <row r="36" spans="1:13" x14ac:dyDescent="0.25">
      <c r="D36" s="26"/>
      <c r="E36" s="6"/>
      <c r="F36" s="152"/>
      <c r="G36" s="152"/>
      <c r="H36" s="152"/>
      <c r="I36" s="152"/>
      <c r="J36" s="40"/>
      <c r="K36" s="9"/>
      <c r="L36" s="9"/>
      <c r="M36" s="4"/>
    </row>
    <row r="37" spans="1:13" x14ac:dyDescent="0.25">
      <c r="D37" s="26"/>
      <c r="E37" s="7" t="s">
        <v>23</v>
      </c>
      <c r="F37" s="136" t="s">
        <v>42</v>
      </c>
      <c r="G37" s="136"/>
      <c r="H37" s="136"/>
      <c r="I37" s="136"/>
      <c r="J37" s="136"/>
      <c r="K37" s="136"/>
      <c r="L37" s="136"/>
      <c r="M37" s="136"/>
    </row>
    <row r="38" spans="1:13" x14ac:dyDescent="0.25">
      <c r="A38" s="27">
        <v>0.08</v>
      </c>
      <c r="D38" s="26"/>
      <c r="E38" s="46" t="s">
        <v>24</v>
      </c>
      <c r="F38" s="140" t="s">
        <v>35</v>
      </c>
      <c r="G38" s="140"/>
      <c r="H38" s="140"/>
      <c r="I38" s="140"/>
      <c r="J38" s="38">
        <f t="shared" ref="J38:J43" si="4">$I$234*A38</f>
        <v>25721.279999999999</v>
      </c>
      <c r="K38" s="9" t="s">
        <v>123</v>
      </c>
      <c r="L38" s="18">
        <v>0</v>
      </c>
      <c r="M38" s="4">
        <f t="shared" ref="M38:M43" si="5">+L38*J38</f>
        <v>0</v>
      </c>
    </row>
    <row r="39" spans="1:13" x14ac:dyDescent="0.25">
      <c r="A39" s="27">
        <v>0.12</v>
      </c>
      <c r="D39" s="26"/>
      <c r="E39" s="46" t="s">
        <v>25</v>
      </c>
      <c r="F39" s="140" t="s">
        <v>36</v>
      </c>
      <c r="G39" s="140"/>
      <c r="H39" s="140"/>
      <c r="I39" s="140"/>
      <c r="J39" s="38">
        <f t="shared" si="4"/>
        <v>38581.919999999998</v>
      </c>
      <c r="K39" s="9" t="s">
        <v>123</v>
      </c>
      <c r="L39" s="18">
        <v>0</v>
      </c>
      <c r="M39" s="4">
        <f t="shared" si="5"/>
        <v>0</v>
      </c>
    </row>
    <row r="40" spans="1:13" x14ac:dyDescent="0.25">
      <c r="A40" s="27">
        <v>0.2</v>
      </c>
      <c r="D40" s="26"/>
      <c r="E40" s="46" t="s">
        <v>163</v>
      </c>
      <c r="F40" s="140" t="s">
        <v>37</v>
      </c>
      <c r="G40" s="140"/>
      <c r="H40" s="140"/>
      <c r="I40" s="140"/>
      <c r="J40" s="38">
        <f t="shared" si="4"/>
        <v>64303.200000000004</v>
      </c>
      <c r="K40" s="9" t="s">
        <v>123</v>
      </c>
      <c r="L40" s="18">
        <v>0</v>
      </c>
      <c r="M40" s="4">
        <f t="shared" si="5"/>
        <v>0</v>
      </c>
    </row>
    <row r="41" spans="1:13" x14ac:dyDescent="0.25">
      <c r="A41" s="27">
        <v>0.4</v>
      </c>
      <c r="D41" s="26"/>
      <c r="E41" s="46" t="s">
        <v>164</v>
      </c>
      <c r="F41" s="140" t="s">
        <v>38</v>
      </c>
      <c r="G41" s="140"/>
      <c r="H41" s="140"/>
      <c r="I41" s="140"/>
      <c r="J41" s="38">
        <f t="shared" si="4"/>
        <v>128606.40000000001</v>
      </c>
      <c r="K41" s="9" t="s">
        <v>123</v>
      </c>
      <c r="L41" s="18">
        <v>0</v>
      </c>
      <c r="M41" s="4">
        <f t="shared" si="5"/>
        <v>0</v>
      </c>
    </row>
    <row r="42" spans="1:13" x14ac:dyDescent="0.25">
      <c r="A42" s="27">
        <v>1.2</v>
      </c>
      <c r="D42" s="26"/>
      <c r="E42" s="46" t="s">
        <v>165</v>
      </c>
      <c r="F42" s="140" t="s">
        <v>40</v>
      </c>
      <c r="G42" s="140"/>
      <c r="H42" s="140"/>
      <c r="I42" s="140"/>
      <c r="J42" s="38">
        <f t="shared" si="4"/>
        <v>385819.2</v>
      </c>
      <c r="K42" s="9" t="s">
        <v>123</v>
      </c>
      <c r="L42" s="18">
        <v>0</v>
      </c>
      <c r="M42" s="4">
        <f t="shared" si="5"/>
        <v>0</v>
      </c>
    </row>
    <row r="43" spans="1:13" x14ac:dyDescent="0.25">
      <c r="A43" s="27">
        <v>1.85</v>
      </c>
      <c r="D43" s="26"/>
      <c r="E43" s="46" t="s">
        <v>166</v>
      </c>
      <c r="F43" s="140" t="s">
        <v>43</v>
      </c>
      <c r="G43" s="140"/>
      <c r="H43" s="140"/>
      <c r="I43" s="140"/>
      <c r="J43" s="38">
        <f t="shared" si="4"/>
        <v>594804.6</v>
      </c>
      <c r="K43" s="9" t="s">
        <v>123</v>
      </c>
      <c r="L43" s="18">
        <v>0</v>
      </c>
      <c r="M43" s="4">
        <f t="shared" si="5"/>
        <v>0</v>
      </c>
    </row>
    <row r="44" spans="1:13" x14ac:dyDescent="0.25">
      <c r="D44" s="26"/>
      <c r="E44" s="138"/>
      <c r="F44" s="138"/>
      <c r="G44" s="138"/>
      <c r="H44" s="138"/>
      <c r="I44" s="138"/>
      <c r="J44" s="138"/>
      <c r="K44" s="138"/>
      <c r="L44" s="138"/>
      <c r="M44" s="138"/>
    </row>
    <row r="45" spans="1:13" ht="15" customHeight="1" x14ac:dyDescent="0.25">
      <c r="D45" s="26"/>
      <c r="E45" s="16" t="s">
        <v>27</v>
      </c>
      <c r="F45" s="146" t="s">
        <v>26</v>
      </c>
      <c r="G45" s="146"/>
      <c r="H45" s="146"/>
      <c r="I45" s="146"/>
      <c r="J45" s="146"/>
      <c r="K45" s="146"/>
      <c r="L45" s="146"/>
      <c r="M45" s="146"/>
    </row>
    <row r="46" spans="1:13" x14ac:dyDescent="0.25">
      <c r="A46" s="27">
        <v>0.75</v>
      </c>
      <c r="D46" s="26"/>
      <c r="E46" s="46" t="s">
        <v>167</v>
      </c>
      <c r="F46" s="140" t="s">
        <v>44</v>
      </c>
      <c r="G46" s="140"/>
      <c r="H46" s="140"/>
      <c r="I46" s="140"/>
      <c r="J46" s="38">
        <f t="shared" ref="J46:J51" si="6">$I$234*A46</f>
        <v>241137</v>
      </c>
      <c r="K46" s="9" t="s">
        <v>123</v>
      </c>
      <c r="L46" s="18">
        <v>0</v>
      </c>
      <c r="M46" s="4">
        <f t="shared" ref="M46:M51" si="7">+L46*J46</f>
        <v>0</v>
      </c>
    </row>
    <row r="47" spans="1:13" x14ac:dyDescent="0.25">
      <c r="A47" s="27">
        <v>1.3</v>
      </c>
      <c r="D47" s="26"/>
      <c r="E47" s="46" t="s">
        <v>168</v>
      </c>
      <c r="F47" s="140" t="s">
        <v>45</v>
      </c>
      <c r="G47" s="140"/>
      <c r="H47" s="140"/>
      <c r="I47" s="140"/>
      <c r="J47" s="38">
        <f t="shared" si="6"/>
        <v>417970.8</v>
      </c>
      <c r="K47" s="9" t="s">
        <v>123</v>
      </c>
      <c r="L47" s="18">
        <v>0</v>
      </c>
      <c r="M47" s="4">
        <f t="shared" si="7"/>
        <v>0</v>
      </c>
    </row>
    <row r="48" spans="1:13" x14ac:dyDescent="0.25">
      <c r="A48" s="27">
        <v>1.9</v>
      </c>
      <c r="D48" s="26"/>
      <c r="E48" s="46" t="s">
        <v>169</v>
      </c>
      <c r="F48" s="140" t="s">
        <v>46</v>
      </c>
      <c r="G48" s="140"/>
      <c r="H48" s="140"/>
      <c r="I48" s="140"/>
      <c r="J48" s="38">
        <f t="shared" si="6"/>
        <v>610880.4</v>
      </c>
      <c r="K48" s="9" t="s">
        <v>123</v>
      </c>
      <c r="L48" s="18">
        <v>0</v>
      </c>
      <c r="M48" s="4">
        <f t="shared" si="7"/>
        <v>0</v>
      </c>
    </row>
    <row r="49" spans="1:13" x14ac:dyDescent="0.25">
      <c r="A49" s="27">
        <v>2.8</v>
      </c>
      <c r="D49" s="26"/>
      <c r="E49" s="46" t="s">
        <v>170</v>
      </c>
      <c r="F49" s="140" t="s">
        <v>47</v>
      </c>
      <c r="G49" s="140"/>
      <c r="H49" s="140"/>
      <c r="I49" s="140"/>
      <c r="J49" s="38">
        <f t="shared" si="6"/>
        <v>900244.79999999993</v>
      </c>
      <c r="K49" s="9" t="s">
        <v>123</v>
      </c>
      <c r="L49" s="18">
        <v>0</v>
      </c>
      <c r="M49" s="4">
        <f t="shared" si="7"/>
        <v>0</v>
      </c>
    </row>
    <row r="50" spans="1:13" x14ac:dyDescent="0.25">
      <c r="A50" s="27">
        <v>3.75</v>
      </c>
      <c r="D50" s="26"/>
      <c r="E50" s="46" t="s">
        <v>171</v>
      </c>
      <c r="F50" s="140" t="s">
        <v>48</v>
      </c>
      <c r="G50" s="140"/>
      <c r="H50" s="140"/>
      <c r="I50" s="140"/>
      <c r="J50" s="38">
        <f t="shared" si="6"/>
        <v>1205685</v>
      </c>
      <c r="K50" s="9" t="s">
        <v>123</v>
      </c>
      <c r="L50" s="18">
        <v>0</v>
      </c>
      <c r="M50" s="4">
        <f t="shared" si="7"/>
        <v>0</v>
      </c>
    </row>
    <row r="51" spans="1:13" x14ac:dyDescent="0.25">
      <c r="A51" s="27">
        <v>5</v>
      </c>
      <c r="D51" s="26"/>
      <c r="E51" s="46" t="s">
        <v>172</v>
      </c>
      <c r="F51" s="140" t="s">
        <v>49</v>
      </c>
      <c r="G51" s="140"/>
      <c r="H51" s="140"/>
      <c r="I51" s="140"/>
      <c r="J51" s="38">
        <f t="shared" si="6"/>
        <v>1607580</v>
      </c>
      <c r="K51" s="9" t="s">
        <v>123</v>
      </c>
      <c r="L51" s="18">
        <v>0</v>
      </c>
      <c r="M51" s="4">
        <f t="shared" si="7"/>
        <v>0</v>
      </c>
    </row>
    <row r="52" spans="1:13" x14ac:dyDescent="0.25">
      <c r="D52" s="26"/>
      <c r="E52" s="6"/>
      <c r="F52" s="152"/>
      <c r="G52" s="152"/>
      <c r="H52" s="152"/>
      <c r="I52" s="152"/>
      <c r="J52" s="40"/>
      <c r="K52" s="9"/>
      <c r="L52" s="9"/>
      <c r="M52" s="4"/>
    </row>
    <row r="53" spans="1:13" x14ac:dyDescent="0.25">
      <c r="D53" s="26"/>
      <c r="E53" s="7" t="s">
        <v>28</v>
      </c>
      <c r="F53" s="136" t="s">
        <v>29</v>
      </c>
      <c r="G53" s="136"/>
      <c r="H53" s="136"/>
      <c r="I53" s="136"/>
      <c r="J53" s="136"/>
      <c r="K53" s="136"/>
      <c r="L53" s="136"/>
      <c r="M53" s="136"/>
    </row>
    <row r="54" spans="1:13" ht="29.25" customHeight="1" x14ac:dyDescent="0.25">
      <c r="A54" s="29">
        <v>0.3</v>
      </c>
      <c r="D54" s="26"/>
      <c r="E54" s="46" t="s">
        <v>173</v>
      </c>
      <c r="F54" s="141" t="s">
        <v>50</v>
      </c>
      <c r="G54" s="141"/>
      <c r="H54" s="141"/>
      <c r="I54" s="141"/>
      <c r="J54" s="38">
        <f>$I$234*A54</f>
        <v>96454.8</v>
      </c>
      <c r="K54" s="9" t="s">
        <v>123</v>
      </c>
      <c r="L54" s="18">
        <v>0</v>
      </c>
      <c r="M54" s="4">
        <f>+L54*J54</f>
        <v>0</v>
      </c>
    </row>
    <row r="55" spans="1:13" ht="17.25" x14ac:dyDescent="0.25">
      <c r="A55" s="30">
        <v>4.0000000000000001E-3</v>
      </c>
      <c r="D55" s="26"/>
      <c r="E55" s="46" t="s">
        <v>175</v>
      </c>
      <c r="F55" s="141" t="s">
        <v>51</v>
      </c>
      <c r="G55" s="141"/>
      <c r="H55" s="141"/>
      <c r="I55" s="141"/>
      <c r="J55" s="41">
        <f>$I$234*A55</f>
        <v>1286.0640000000001</v>
      </c>
      <c r="K55" s="9" t="s">
        <v>125</v>
      </c>
      <c r="L55" s="19">
        <v>0</v>
      </c>
      <c r="M55" s="4">
        <f>+L55*J55</f>
        <v>0</v>
      </c>
    </row>
    <row r="56" spans="1:13" ht="51.75" customHeight="1" x14ac:dyDescent="0.25">
      <c r="A56" s="30"/>
      <c r="D56" s="26"/>
      <c r="E56" s="7" t="s">
        <v>174</v>
      </c>
      <c r="F56" s="146" t="s">
        <v>176</v>
      </c>
      <c r="G56" s="146"/>
      <c r="H56" s="146"/>
      <c r="I56" s="146"/>
      <c r="J56" s="41"/>
      <c r="K56" s="9"/>
      <c r="L56" s="41"/>
      <c r="M56" s="4"/>
    </row>
    <row r="57" spans="1:13" ht="28.5" customHeight="1" x14ac:dyDescent="0.25">
      <c r="A57" s="29">
        <v>0.12</v>
      </c>
      <c r="D57" s="31"/>
      <c r="E57" s="46" t="s">
        <v>177</v>
      </c>
      <c r="F57" s="141" t="s">
        <v>31</v>
      </c>
      <c r="G57" s="141"/>
      <c r="H57" s="141"/>
      <c r="I57" s="141"/>
      <c r="J57" s="44">
        <f>$I$234*A57</f>
        <v>38581.919999999998</v>
      </c>
      <c r="K57" s="9" t="s">
        <v>123</v>
      </c>
      <c r="L57" s="22">
        <v>0</v>
      </c>
      <c r="M57" s="5">
        <f>+L57*J57</f>
        <v>0</v>
      </c>
    </row>
    <row r="58" spans="1:13" x14ac:dyDescent="0.25">
      <c r="A58" s="27">
        <v>0.25</v>
      </c>
      <c r="D58" s="26"/>
      <c r="E58" s="46" t="s">
        <v>178</v>
      </c>
      <c r="F58" s="141" t="s">
        <v>30</v>
      </c>
      <c r="G58" s="141"/>
      <c r="H58" s="141"/>
      <c r="I58" s="141"/>
      <c r="J58" s="38">
        <f>$I$234*A58</f>
        <v>80379</v>
      </c>
      <c r="K58" s="9" t="s">
        <v>123</v>
      </c>
      <c r="L58" s="18">
        <v>0</v>
      </c>
      <c r="M58" s="5">
        <f>+L58*J58</f>
        <v>0</v>
      </c>
    </row>
    <row r="59" spans="1:13" x14ac:dyDescent="0.25">
      <c r="A59" s="27">
        <v>0.4</v>
      </c>
      <c r="D59" s="26"/>
      <c r="E59" s="46" t="s">
        <v>179</v>
      </c>
      <c r="F59" s="141" t="s">
        <v>52</v>
      </c>
      <c r="G59" s="141"/>
      <c r="H59" s="141"/>
      <c r="I59" s="141"/>
      <c r="J59" s="38">
        <f>$I$234*A59</f>
        <v>128606.40000000001</v>
      </c>
      <c r="K59" s="9" t="s">
        <v>123</v>
      </c>
      <c r="L59" s="18">
        <v>0</v>
      </c>
      <c r="M59" s="5">
        <f>+L59*J59</f>
        <v>0</v>
      </c>
    </row>
    <row r="60" spans="1:13" x14ac:dyDescent="0.25">
      <c r="A60" s="27"/>
      <c r="D60" s="26"/>
      <c r="E60" s="143"/>
      <c r="F60" s="143"/>
      <c r="G60" s="143"/>
      <c r="H60" s="143"/>
      <c r="I60" s="143"/>
      <c r="J60" s="143"/>
      <c r="K60" s="143"/>
      <c r="L60" s="143"/>
      <c r="M60" s="143"/>
    </row>
    <row r="61" spans="1:13" x14ac:dyDescent="0.25">
      <c r="A61" s="27"/>
      <c r="D61" s="26"/>
      <c r="E61" s="137" t="s">
        <v>354</v>
      </c>
      <c r="F61" s="137"/>
      <c r="G61" s="137"/>
      <c r="H61" s="137"/>
      <c r="I61" s="137"/>
      <c r="J61" s="137"/>
      <c r="K61" s="137"/>
      <c r="L61" s="137"/>
      <c r="M61" s="5">
        <f>SUM(M57:M59)+SUM(M46:M51)+SUM(M38:M43)+SUM(M29:M35)+SUM(M19:M26)+SUM(M15:M17)+SUM(M54:M55)</f>
        <v>0</v>
      </c>
    </row>
    <row r="62" spans="1:13" x14ac:dyDescent="0.25">
      <c r="E62" s="155"/>
      <c r="F62" s="155"/>
      <c r="G62" s="155"/>
      <c r="H62" s="155"/>
      <c r="I62" s="155"/>
      <c r="J62" s="155"/>
      <c r="K62" s="155"/>
      <c r="L62" s="155"/>
      <c r="M62" s="155"/>
    </row>
    <row r="63" spans="1:13" x14ac:dyDescent="0.25">
      <c r="D63" s="26"/>
      <c r="E63" s="7" t="s">
        <v>150</v>
      </c>
      <c r="F63" s="154" t="s">
        <v>57</v>
      </c>
      <c r="G63" s="154"/>
      <c r="H63" s="154"/>
      <c r="I63" s="154"/>
      <c r="J63" s="154"/>
      <c r="K63" s="154"/>
      <c r="L63" s="154"/>
      <c r="M63" s="154"/>
    </row>
    <row r="64" spans="1:13" ht="45" customHeight="1" x14ac:dyDescent="0.25">
      <c r="A64" s="29">
        <v>0.75</v>
      </c>
      <c r="D64" s="26"/>
      <c r="E64" s="46" t="s">
        <v>113</v>
      </c>
      <c r="F64" s="141" t="s">
        <v>58</v>
      </c>
      <c r="G64" s="141"/>
      <c r="H64" s="141"/>
      <c r="I64" s="141"/>
      <c r="J64" s="38">
        <f>$I$234*A64</f>
        <v>241137</v>
      </c>
      <c r="K64" s="9" t="s">
        <v>123</v>
      </c>
      <c r="L64" s="18">
        <v>0</v>
      </c>
      <c r="M64" s="4">
        <f>+L64*J64</f>
        <v>0</v>
      </c>
    </row>
    <row r="65" spans="1:13" x14ac:dyDescent="0.25">
      <c r="A65" s="27">
        <v>0.4</v>
      </c>
      <c r="D65" s="26"/>
      <c r="E65" s="46" t="s">
        <v>114</v>
      </c>
      <c r="F65" s="140" t="s">
        <v>59</v>
      </c>
      <c r="G65" s="140"/>
      <c r="H65" s="140"/>
      <c r="I65" s="140"/>
      <c r="J65" s="38">
        <f>$I$234*A65</f>
        <v>128606.40000000001</v>
      </c>
      <c r="K65" s="9" t="s">
        <v>123</v>
      </c>
      <c r="L65" s="18">
        <v>0</v>
      </c>
      <c r="M65" s="4">
        <f>+L65*J65</f>
        <v>0</v>
      </c>
    </row>
    <row r="66" spans="1:13" ht="30" customHeight="1" x14ac:dyDescent="0.25">
      <c r="A66" s="27">
        <v>0.15</v>
      </c>
      <c r="D66" s="26"/>
      <c r="E66" s="46" t="s">
        <v>115</v>
      </c>
      <c r="F66" s="141" t="s">
        <v>60</v>
      </c>
      <c r="G66" s="141"/>
      <c r="H66" s="141"/>
      <c r="I66" s="141"/>
      <c r="J66" s="38">
        <f>$I$234*A66</f>
        <v>48227.4</v>
      </c>
      <c r="K66" s="9" t="s">
        <v>123</v>
      </c>
      <c r="L66" s="18">
        <v>0</v>
      </c>
      <c r="M66" s="4">
        <f>+L66*J66</f>
        <v>0</v>
      </c>
    </row>
    <row r="67" spans="1:13" ht="18.75" customHeight="1" x14ac:dyDescent="0.25">
      <c r="A67" s="27"/>
      <c r="D67" s="26"/>
      <c r="E67" s="143"/>
      <c r="F67" s="143"/>
      <c r="G67" s="143"/>
      <c r="H67" s="143"/>
      <c r="I67" s="143"/>
      <c r="J67" s="143"/>
      <c r="K67" s="143"/>
      <c r="L67" s="143"/>
      <c r="M67" s="143"/>
    </row>
    <row r="68" spans="1:13" ht="21" customHeight="1" collapsed="1" x14ac:dyDescent="0.25">
      <c r="A68" s="27"/>
      <c r="D68" s="26"/>
      <c r="E68" s="137" t="s">
        <v>353</v>
      </c>
      <c r="F68" s="137"/>
      <c r="G68" s="137"/>
      <c r="H68" s="137"/>
      <c r="I68" s="137"/>
      <c r="J68" s="137"/>
      <c r="K68" s="137"/>
      <c r="L68" s="137"/>
      <c r="M68" s="4">
        <f>SUM(M64:M66)</f>
        <v>0</v>
      </c>
    </row>
    <row r="69" spans="1:13" x14ac:dyDescent="0.25">
      <c r="D69" s="26"/>
      <c r="E69" s="8"/>
      <c r="F69" s="152"/>
      <c r="G69" s="152"/>
      <c r="H69" s="152"/>
      <c r="I69" s="152"/>
      <c r="J69" s="40"/>
      <c r="K69" s="9"/>
      <c r="L69" s="9"/>
      <c r="M69" s="4"/>
    </row>
    <row r="70" spans="1:13" ht="19.5" customHeight="1" collapsed="1" x14ac:dyDescent="0.25">
      <c r="D70" s="26"/>
      <c r="E70" s="62" t="s">
        <v>180</v>
      </c>
      <c r="F70" s="136" t="s">
        <v>149</v>
      </c>
      <c r="G70" s="136"/>
      <c r="H70" s="136"/>
      <c r="I70" s="136"/>
      <c r="J70" s="136"/>
      <c r="K70" s="136"/>
      <c r="L70" s="136"/>
      <c r="M70" s="136"/>
    </row>
    <row r="71" spans="1:13" ht="14.25" customHeight="1" x14ac:dyDescent="0.25">
      <c r="D71" s="26"/>
      <c r="E71" s="7" t="s">
        <v>68</v>
      </c>
      <c r="F71" s="154" t="s">
        <v>61</v>
      </c>
      <c r="G71" s="154"/>
      <c r="H71" s="154"/>
      <c r="I71" s="154"/>
      <c r="J71" s="154"/>
      <c r="K71" s="154"/>
      <c r="L71" s="154"/>
      <c r="M71" s="154"/>
    </row>
    <row r="72" spans="1:13" x14ac:dyDescent="0.25">
      <c r="A72" s="27">
        <v>7.0000000000000007E-2</v>
      </c>
      <c r="D72" s="26"/>
      <c r="E72" s="46" t="s">
        <v>116</v>
      </c>
      <c r="F72" s="140" t="s">
        <v>62</v>
      </c>
      <c r="G72" s="140"/>
      <c r="H72" s="140"/>
      <c r="I72" s="140"/>
      <c r="J72" s="38">
        <f>$I$234*A72</f>
        <v>22506.120000000003</v>
      </c>
      <c r="K72" s="9" t="s">
        <v>123</v>
      </c>
      <c r="L72" s="18">
        <v>0</v>
      </c>
      <c r="M72" s="4">
        <f>+L72*J72</f>
        <v>0</v>
      </c>
    </row>
    <row r="73" spans="1:13" x14ac:dyDescent="0.25">
      <c r="A73" s="1" t="s">
        <v>67</v>
      </c>
      <c r="E73" s="46" t="s">
        <v>120</v>
      </c>
      <c r="F73" s="140" t="s">
        <v>64</v>
      </c>
      <c r="G73" s="140"/>
      <c r="H73" s="140"/>
      <c r="I73" s="140"/>
      <c r="J73" s="153" t="s">
        <v>67</v>
      </c>
      <c r="K73" s="153"/>
      <c r="L73" s="9"/>
      <c r="M73" s="15">
        <v>0</v>
      </c>
    </row>
    <row r="74" spans="1:13" ht="30" customHeight="1" x14ac:dyDescent="0.25">
      <c r="A74" s="27">
        <v>0.75</v>
      </c>
      <c r="D74" s="26"/>
      <c r="E74" s="46" t="s">
        <v>181</v>
      </c>
      <c r="F74" s="141" t="s">
        <v>63</v>
      </c>
      <c r="G74" s="141"/>
      <c r="H74" s="141"/>
      <c r="I74" s="141"/>
      <c r="J74" s="38">
        <f>$I$234*A74</f>
        <v>241137</v>
      </c>
      <c r="K74" s="9" t="s">
        <v>123</v>
      </c>
      <c r="L74" s="18">
        <v>0</v>
      </c>
      <c r="M74" s="4">
        <f>+L74*J74</f>
        <v>0</v>
      </c>
    </row>
    <row r="75" spans="1:13" ht="30" customHeight="1" x14ac:dyDescent="0.25">
      <c r="A75" s="27">
        <v>0.3</v>
      </c>
      <c r="D75" s="26"/>
      <c r="E75" s="46" t="s">
        <v>182</v>
      </c>
      <c r="F75" s="141" t="s">
        <v>65</v>
      </c>
      <c r="G75" s="141"/>
      <c r="H75" s="141"/>
      <c r="I75" s="141"/>
      <c r="J75" s="38">
        <f>$I$234*A75</f>
        <v>96454.8</v>
      </c>
      <c r="K75" s="9" t="s">
        <v>123</v>
      </c>
      <c r="L75" s="18">
        <v>0</v>
      </c>
      <c r="M75" s="4">
        <f>+L75*J75</f>
        <v>0</v>
      </c>
    </row>
    <row r="76" spans="1:13" ht="30" customHeight="1" x14ac:dyDescent="0.25">
      <c r="A76" s="27">
        <v>0.5</v>
      </c>
      <c r="D76" s="26"/>
      <c r="E76" s="46" t="s">
        <v>183</v>
      </c>
      <c r="F76" s="141" t="s">
        <v>66</v>
      </c>
      <c r="G76" s="141"/>
      <c r="H76" s="141"/>
      <c r="I76" s="141"/>
      <c r="J76" s="38">
        <f>$I$234*A76</f>
        <v>160758</v>
      </c>
      <c r="K76" s="9" t="s">
        <v>123</v>
      </c>
      <c r="L76" s="18">
        <v>0</v>
      </c>
      <c r="M76" s="4">
        <f>+L76*J76</f>
        <v>0</v>
      </c>
    </row>
    <row r="77" spans="1:13" x14ac:dyDescent="0.25">
      <c r="D77" s="26"/>
      <c r="E77" s="143"/>
      <c r="F77" s="143"/>
      <c r="G77" s="143"/>
      <c r="H77" s="143"/>
      <c r="I77" s="143"/>
      <c r="J77" s="143"/>
      <c r="K77" s="143"/>
      <c r="L77" s="143"/>
      <c r="M77" s="143"/>
    </row>
    <row r="78" spans="1:13" x14ac:dyDescent="0.25">
      <c r="D78" s="26"/>
      <c r="E78" s="137" t="s">
        <v>349</v>
      </c>
      <c r="F78" s="137"/>
      <c r="G78" s="137"/>
      <c r="H78" s="137"/>
      <c r="I78" s="137"/>
      <c r="J78" s="137"/>
      <c r="K78" s="137"/>
      <c r="L78" s="137"/>
      <c r="M78" s="63">
        <f>+M76+M75+M74+M73+M72</f>
        <v>0</v>
      </c>
    </row>
    <row r="79" spans="1:13" x14ac:dyDescent="0.25">
      <c r="D79" s="26"/>
      <c r="E79" s="138"/>
      <c r="F79" s="138"/>
      <c r="G79" s="138"/>
      <c r="H79" s="138"/>
      <c r="I79" s="138"/>
      <c r="J79" s="138"/>
      <c r="K79" s="138"/>
      <c r="L79" s="138"/>
      <c r="M79" s="138"/>
    </row>
    <row r="80" spans="1:13" x14ac:dyDescent="0.25">
      <c r="D80" s="26"/>
      <c r="E80" s="7" t="s">
        <v>184</v>
      </c>
      <c r="F80" s="136" t="s">
        <v>69</v>
      </c>
      <c r="G80" s="136"/>
      <c r="H80" s="136"/>
      <c r="I80" s="136"/>
      <c r="J80" s="136"/>
      <c r="K80" s="136"/>
      <c r="L80" s="136"/>
      <c r="M80" s="136"/>
    </row>
    <row r="81" spans="1:13" x14ac:dyDescent="0.25">
      <c r="A81" s="27">
        <v>7.0000000000000007E-2</v>
      </c>
      <c r="D81" s="26"/>
      <c r="E81" s="46" t="s">
        <v>185</v>
      </c>
      <c r="F81" s="141" t="s">
        <v>62</v>
      </c>
      <c r="G81" s="141"/>
      <c r="H81" s="141"/>
      <c r="I81" s="141"/>
      <c r="J81" s="38">
        <f>$I$234*A81</f>
        <v>22506.120000000003</v>
      </c>
      <c r="K81" s="9" t="s">
        <v>123</v>
      </c>
      <c r="L81" s="18">
        <v>0</v>
      </c>
      <c r="M81" s="4">
        <f>+L81*J81</f>
        <v>0</v>
      </c>
    </row>
    <row r="82" spans="1:13" x14ac:dyDescent="0.25">
      <c r="A82" s="1" t="s">
        <v>67</v>
      </c>
      <c r="E82" s="46" t="s">
        <v>186</v>
      </c>
      <c r="F82" s="141" t="s">
        <v>70</v>
      </c>
      <c r="G82" s="141"/>
      <c r="H82" s="141"/>
      <c r="I82" s="141"/>
      <c r="J82" s="153" t="s">
        <v>67</v>
      </c>
      <c r="K82" s="153"/>
      <c r="L82" s="9"/>
      <c r="M82" s="15">
        <v>0</v>
      </c>
    </row>
    <row r="83" spans="1:13" ht="30" customHeight="1" x14ac:dyDescent="0.25">
      <c r="D83" s="26"/>
      <c r="E83" s="46" t="s">
        <v>187</v>
      </c>
      <c r="F83" s="141" t="s">
        <v>71</v>
      </c>
      <c r="G83" s="141"/>
      <c r="H83" s="141"/>
      <c r="I83" s="141"/>
      <c r="J83" s="38">
        <f>$I$234*A84</f>
        <v>241137</v>
      </c>
      <c r="K83" s="9" t="s">
        <v>123</v>
      </c>
      <c r="L83" s="18">
        <v>0</v>
      </c>
      <c r="M83" s="4">
        <f>+L83*J83</f>
        <v>0</v>
      </c>
    </row>
    <row r="84" spans="1:13" x14ac:dyDescent="0.25">
      <c r="A84" s="27">
        <v>0.75</v>
      </c>
      <c r="D84" s="26"/>
      <c r="E84" s="46"/>
      <c r="F84" s="141" t="s">
        <v>72</v>
      </c>
      <c r="G84" s="141"/>
      <c r="H84" s="141"/>
      <c r="I84" s="141"/>
      <c r="J84" s="40"/>
      <c r="K84" s="9"/>
      <c r="L84" s="9"/>
      <c r="M84" s="4"/>
    </row>
    <row r="85" spans="1:13" ht="30" customHeight="1" x14ac:dyDescent="0.25">
      <c r="A85" s="1" t="s">
        <v>67</v>
      </c>
      <c r="E85" s="46" t="s">
        <v>188</v>
      </c>
      <c r="F85" s="141" t="s">
        <v>73</v>
      </c>
      <c r="G85" s="141"/>
      <c r="H85" s="141"/>
      <c r="I85" s="141"/>
      <c r="J85" s="153" t="s">
        <v>67</v>
      </c>
      <c r="K85" s="153"/>
      <c r="L85" s="9"/>
      <c r="M85" s="15">
        <v>0</v>
      </c>
    </row>
    <row r="86" spans="1:13" s="11" customFormat="1" ht="30" customHeight="1" x14ac:dyDescent="0.25">
      <c r="A86" s="32">
        <v>0.75</v>
      </c>
      <c r="D86" s="33"/>
      <c r="E86" s="47" t="s">
        <v>189</v>
      </c>
      <c r="F86" s="141" t="s">
        <v>74</v>
      </c>
      <c r="G86" s="141"/>
      <c r="H86" s="141"/>
      <c r="I86" s="141"/>
      <c r="J86" s="43">
        <f>$I$234*A86</f>
        <v>241137</v>
      </c>
      <c r="K86" s="9" t="s">
        <v>123</v>
      </c>
      <c r="L86" s="23">
        <v>0</v>
      </c>
      <c r="M86" s="14">
        <f>+L86*J86</f>
        <v>0</v>
      </c>
    </row>
    <row r="87" spans="1:13" x14ac:dyDescent="0.25">
      <c r="D87" s="26"/>
      <c r="E87" s="46"/>
      <c r="F87" s="141" t="s">
        <v>75</v>
      </c>
      <c r="G87" s="141"/>
      <c r="H87" s="141"/>
      <c r="I87" s="141"/>
      <c r="J87" s="40"/>
      <c r="K87" s="9"/>
      <c r="L87" s="9"/>
      <c r="M87" s="4"/>
    </row>
    <row r="88" spans="1:13" ht="30" customHeight="1" x14ac:dyDescent="0.25">
      <c r="A88" s="27">
        <v>0.5</v>
      </c>
      <c r="D88" s="26"/>
      <c r="E88" s="46" t="s">
        <v>190</v>
      </c>
      <c r="F88" s="141" t="s">
        <v>76</v>
      </c>
      <c r="G88" s="141"/>
      <c r="H88" s="141"/>
      <c r="I88" s="141"/>
      <c r="J88" s="38">
        <f>$I$234*A88</f>
        <v>160758</v>
      </c>
      <c r="K88" s="9" t="s">
        <v>123</v>
      </c>
      <c r="L88" s="18">
        <v>0</v>
      </c>
      <c r="M88" s="4">
        <f>+L88*J88</f>
        <v>0</v>
      </c>
    </row>
    <row r="89" spans="1:13" ht="30" customHeight="1" x14ac:dyDescent="0.25">
      <c r="A89" s="27">
        <v>0.3</v>
      </c>
      <c r="D89" s="26"/>
      <c r="E89" s="46" t="s">
        <v>191</v>
      </c>
      <c r="F89" s="141" t="s">
        <v>77</v>
      </c>
      <c r="G89" s="141"/>
      <c r="H89" s="141"/>
      <c r="I89" s="141"/>
      <c r="J89" s="38">
        <f>$I$234*A89</f>
        <v>96454.8</v>
      </c>
      <c r="K89" s="9" t="s">
        <v>123</v>
      </c>
      <c r="L89" s="18">
        <v>0</v>
      </c>
      <c r="M89" s="4">
        <f>+L89*J89</f>
        <v>0</v>
      </c>
    </row>
    <row r="90" spans="1:13" s="12" customFormat="1" ht="30" customHeight="1" x14ac:dyDescent="0.25">
      <c r="A90" s="34">
        <v>0.13</v>
      </c>
      <c r="D90" s="35"/>
      <c r="E90" s="47" t="s">
        <v>192</v>
      </c>
      <c r="F90" s="141" t="s">
        <v>78</v>
      </c>
      <c r="G90" s="141"/>
      <c r="H90" s="141"/>
      <c r="I90" s="141"/>
      <c r="J90" s="42">
        <f>$I$234*A90</f>
        <v>41797.08</v>
      </c>
      <c r="K90" s="9" t="s">
        <v>123</v>
      </c>
      <c r="L90" s="24">
        <v>0</v>
      </c>
      <c r="M90" s="13">
        <f>+L90*J90</f>
        <v>0</v>
      </c>
    </row>
    <row r="91" spans="1:13" x14ac:dyDescent="0.25">
      <c r="D91" s="26"/>
      <c r="E91" s="143"/>
      <c r="F91" s="143"/>
      <c r="G91" s="143"/>
      <c r="H91" s="143"/>
      <c r="I91" s="143"/>
      <c r="J91" s="143"/>
      <c r="K91" s="143"/>
      <c r="L91" s="143"/>
      <c r="M91" s="143"/>
    </row>
    <row r="92" spans="1:13" x14ac:dyDescent="0.25">
      <c r="D92" s="26"/>
      <c r="E92" s="137" t="s">
        <v>350</v>
      </c>
      <c r="F92" s="137"/>
      <c r="G92" s="137"/>
      <c r="H92" s="137"/>
      <c r="I92" s="137"/>
      <c r="J92" s="137"/>
      <c r="K92" s="137"/>
      <c r="L92" s="137"/>
      <c r="M92" s="63">
        <f>+M90+M89+M88+M86+M85+M83+M82+M81</f>
        <v>0</v>
      </c>
    </row>
    <row r="93" spans="1:13" x14ac:dyDescent="0.25">
      <c r="D93" s="26"/>
      <c r="E93" s="138"/>
      <c r="F93" s="138"/>
      <c r="G93" s="138"/>
      <c r="H93" s="138"/>
      <c r="I93" s="138"/>
      <c r="J93" s="138"/>
      <c r="K93" s="138"/>
      <c r="L93" s="138"/>
      <c r="M93" s="138"/>
    </row>
    <row r="94" spans="1:13" x14ac:dyDescent="0.25">
      <c r="D94" s="26"/>
      <c r="E94" s="7" t="s">
        <v>193</v>
      </c>
      <c r="F94" s="142" t="s">
        <v>79</v>
      </c>
      <c r="G94" s="142"/>
      <c r="H94" s="142"/>
      <c r="I94" s="142"/>
      <c r="J94" s="142"/>
      <c r="K94" s="142"/>
      <c r="L94" s="142"/>
      <c r="M94" s="142"/>
    </row>
    <row r="95" spans="1:13" ht="30" customHeight="1" x14ac:dyDescent="0.25">
      <c r="A95" s="27">
        <v>0.15</v>
      </c>
      <c r="D95" s="26"/>
      <c r="E95" s="46" t="s">
        <v>194</v>
      </c>
      <c r="F95" s="141" t="s">
        <v>80</v>
      </c>
      <c r="G95" s="141"/>
      <c r="H95" s="141"/>
      <c r="I95" s="141"/>
      <c r="J95" s="38">
        <f>$I$234*A95</f>
        <v>48227.4</v>
      </c>
      <c r="K95" s="9" t="s">
        <v>123</v>
      </c>
      <c r="L95" s="18">
        <v>0</v>
      </c>
      <c r="M95" s="4">
        <f>+L95*J95</f>
        <v>0</v>
      </c>
    </row>
    <row r="96" spans="1:13" ht="30" customHeight="1" x14ac:dyDescent="0.25">
      <c r="A96" s="27">
        <v>0.1</v>
      </c>
      <c r="D96" s="26"/>
      <c r="E96" s="46" t="s">
        <v>195</v>
      </c>
      <c r="F96" s="141" t="s">
        <v>81</v>
      </c>
      <c r="G96" s="141"/>
      <c r="H96" s="141"/>
      <c r="I96" s="141"/>
      <c r="J96" s="38">
        <f>$I$234*A96</f>
        <v>32151.600000000002</v>
      </c>
      <c r="K96" s="9" t="s">
        <v>123</v>
      </c>
      <c r="L96" s="18">
        <v>0</v>
      </c>
      <c r="M96" s="4">
        <f>+L96*J96</f>
        <v>0</v>
      </c>
    </row>
    <row r="97" spans="1:13" ht="60" customHeight="1" x14ac:dyDescent="0.25">
      <c r="D97" s="26"/>
      <c r="E97" s="46" t="s">
        <v>226</v>
      </c>
      <c r="F97" s="141" t="s">
        <v>82</v>
      </c>
      <c r="G97" s="141"/>
      <c r="H97" s="141"/>
      <c r="I97" s="141"/>
      <c r="J97" s="4">
        <f>+J11</f>
        <v>32148.178345737957</v>
      </c>
      <c r="K97" s="71" t="s">
        <v>243</v>
      </c>
      <c r="L97" s="72">
        <v>0</v>
      </c>
      <c r="M97" s="4">
        <f>+L97*J97</f>
        <v>0</v>
      </c>
    </row>
    <row r="98" spans="1:13" x14ac:dyDescent="0.25">
      <c r="D98" s="26"/>
      <c r="E98" s="143"/>
      <c r="F98" s="143"/>
      <c r="G98" s="143"/>
      <c r="H98" s="143"/>
      <c r="I98" s="143"/>
      <c r="J98" s="143"/>
      <c r="K98" s="143"/>
      <c r="L98" s="143"/>
      <c r="M98" s="143"/>
    </row>
    <row r="99" spans="1:13" x14ac:dyDescent="0.25">
      <c r="D99" s="26"/>
      <c r="E99" s="137" t="s">
        <v>351</v>
      </c>
      <c r="F99" s="137"/>
      <c r="G99" s="137"/>
      <c r="H99" s="137"/>
      <c r="I99" s="137"/>
      <c r="J99" s="137"/>
      <c r="K99" s="137"/>
      <c r="L99" s="137"/>
      <c r="M99" s="63">
        <f>+M97+M96+M95</f>
        <v>0</v>
      </c>
    </row>
    <row r="100" spans="1:13" x14ac:dyDescent="0.25">
      <c r="D100" s="26"/>
      <c r="E100" s="138"/>
      <c r="F100" s="138"/>
      <c r="G100" s="138"/>
      <c r="H100" s="138"/>
      <c r="I100" s="138"/>
      <c r="J100" s="138"/>
      <c r="K100" s="138"/>
      <c r="L100" s="138"/>
      <c r="M100" s="138"/>
    </row>
    <row r="101" spans="1:13" x14ac:dyDescent="0.25">
      <c r="D101" s="26"/>
      <c r="E101" s="16" t="s">
        <v>196</v>
      </c>
      <c r="F101" s="136" t="s">
        <v>83</v>
      </c>
      <c r="G101" s="136"/>
      <c r="H101" s="136"/>
      <c r="I101" s="136"/>
      <c r="J101" s="136"/>
      <c r="K101" s="136"/>
      <c r="L101" s="136"/>
      <c r="M101" s="136"/>
    </row>
    <row r="102" spans="1:13" ht="30" customHeight="1" x14ac:dyDescent="0.25">
      <c r="A102" s="27">
        <v>0.2</v>
      </c>
      <c r="D102" s="26"/>
      <c r="E102" s="46" t="s">
        <v>197</v>
      </c>
      <c r="F102" s="141" t="s">
        <v>219</v>
      </c>
      <c r="G102" s="141"/>
      <c r="H102" s="141"/>
      <c r="I102" s="141"/>
      <c r="J102" s="38">
        <f t="shared" ref="J102:J122" si="8">$I$234*A102</f>
        <v>64303.200000000004</v>
      </c>
      <c r="K102" s="9" t="s">
        <v>123</v>
      </c>
      <c r="L102" s="18">
        <v>0</v>
      </c>
      <c r="M102" s="4">
        <f t="shared" ref="M102:M121" si="9">+L102*J102</f>
        <v>0</v>
      </c>
    </row>
    <row r="103" spans="1:13" ht="30" customHeight="1" x14ac:dyDescent="0.25">
      <c r="A103" s="27">
        <v>0.1</v>
      </c>
      <c r="D103" s="26"/>
      <c r="E103" s="46" t="s">
        <v>198</v>
      </c>
      <c r="F103" s="141" t="s">
        <v>220</v>
      </c>
      <c r="G103" s="141"/>
      <c r="H103" s="141"/>
      <c r="I103" s="141"/>
      <c r="J103" s="38">
        <f t="shared" si="8"/>
        <v>32151.600000000002</v>
      </c>
      <c r="K103" s="9" t="s">
        <v>123</v>
      </c>
      <c r="L103" s="18">
        <v>0</v>
      </c>
      <c r="M103" s="4">
        <f t="shared" si="9"/>
        <v>0</v>
      </c>
    </row>
    <row r="104" spans="1:13" x14ac:dyDescent="0.25">
      <c r="A104" s="27">
        <v>7.0000000000000007E-2</v>
      </c>
      <c r="D104" s="26"/>
      <c r="E104" s="46" t="s">
        <v>199</v>
      </c>
      <c r="F104" s="140" t="s">
        <v>84</v>
      </c>
      <c r="G104" s="140"/>
      <c r="H104" s="140"/>
      <c r="I104" s="140"/>
      <c r="J104" s="38">
        <f t="shared" si="8"/>
        <v>22506.120000000003</v>
      </c>
      <c r="K104" s="9" t="s">
        <v>123</v>
      </c>
      <c r="L104" s="18">
        <v>0</v>
      </c>
      <c r="M104" s="4">
        <f t="shared" si="9"/>
        <v>0</v>
      </c>
    </row>
    <row r="105" spans="1:13" x14ac:dyDescent="0.25">
      <c r="A105" s="27">
        <v>0.1</v>
      </c>
      <c r="D105" s="26"/>
      <c r="E105" s="46" t="s">
        <v>200</v>
      </c>
      <c r="F105" s="140" t="s">
        <v>221</v>
      </c>
      <c r="G105" s="140"/>
      <c r="H105" s="140"/>
      <c r="I105" s="140"/>
      <c r="J105" s="38">
        <f t="shared" si="8"/>
        <v>32151.600000000002</v>
      </c>
      <c r="K105" s="9" t="s">
        <v>123</v>
      </c>
      <c r="L105" s="18">
        <v>0</v>
      </c>
      <c r="M105" s="4">
        <f t="shared" si="9"/>
        <v>0</v>
      </c>
    </row>
    <row r="106" spans="1:13" x14ac:dyDescent="0.25">
      <c r="A106" s="27">
        <v>0.05</v>
      </c>
      <c r="D106" s="26"/>
      <c r="E106" s="46" t="s">
        <v>201</v>
      </c>
      <c r="F106" s="140" t="s">
        <v>85</v>
      </c>
      <c r="G106" s="140"/>
      <c r="H106" s="140"/>
      <c r="I106" s="140"/>
      <c r="J106" s="38">
        <f t="shared" si="8"/>
        <v>16075.800000000001</v>
      </c>
      <c r="K106" s="9" t="s">
        <v>123</v>
      </c>
      <c r="L106" s="18">
        <v>0</v>
      </c>
      <c r="M106" s="4">
        <f t="shared" si="9"/>
        <v>0</v>
      </c>
    </row>
    <row r="107" spans="1:13" x14ac:dyDescent="0.25">
      <c r="A107" s="27">
        <v>0.05</v>
      </c>
      <c r="D107" s="26"/>
      <c r="E107" s="46" t="s">
        <v>202</v>
      </c>
      <c r="F107" s="140" t="s">
        <v>86</v>
      </c>
      <c r="G107" s="140"/>
      <c r="H107" s="140"/>
      <c r="I107" s="140"/>
      <c r="J107" s="38">
        <f t="shared" si="8"/>
        <v>16075.800000000001</v>
      </c>
      <c r="K107" s="9" t="s">
        <v>123</v>
      </c>
      <c r="L107" s="18">
        <v>0</v>
      </c>
      <c r="M107" s="4">
        <f t="shared" si="9"/>
        <v>0</v>
      </c>
    </row>
    <row r="108" spans="1:13" ht="30" customHeight="1" x14ac:dyDescent="0.25">
      <c r="A108" s="27">
        <v>0.05</v>
      </c>
      <c r="D108" s="26"/>
      <c r="E108" s="46" t="s">
        <v>203</v>
      </c>
      <c r="F108" s="141" t="s">
        <v>91</v>
      </c>
      <c r="G108" s="141"/>
      <c r="H108" s="141"/>
      <c r="I108" s="141"/>
      <c r="J108" s="38">
        <f t="shared" si="8"/>
        <v>16075.800000000001</v>
      </c>
      <c r="K108" s="9" t="s">
        <v>123</v>
      </c>
      <c r="L108" s="18">
        <v>0</v>
      </c>
      <c r="M108" s="4">
        <f t="shared" si="9"/>
        <v>0</v>
      </c>
    </row>
    <row r="109" spans="1:13" ht="30" customHeight="1" x14ac:dyDescent="0.25">
      <c r="A109" s="27">
        <v>0.03</v>
      </c>
      <c r="D109" s="26"/>
      <c r="E109" s="46" t="s">
        <v>204</v>
      </c>
      <c r="F109" s="141" t="s">
        <v>92</v>
      </c>
      <c r="G109" s="141"/>
      <c r="H109" s="141"/>
      <c r="I109" s="141"/>
      <c r="J109" s="38">
        <f t="shared" si="8"/>
        <v>9645.48</v>
      </c>
      <c r="K109" s="9" t="s">
        <v>123</v>
      </c>
      <c r="L109" s="18">
        <v>0</v>
      </c>
      <c r="M109" s="4">
        <f t="shared" si="9"/>
        <v>0</v>
      </c>
    </row>
    <row r="110" spans="1:13" x14ac:dyDescent="0.25">
      <c r="A110" s="27">
        <v>0.23</v>
      </c>
      <c r="D110" s="26"/>
      <c r="E110" s="46" t="s">
        <v>205</v>
      </c>
      <c r="F110" s="140" t="s">
        <v>87</v>
      </c>
      <c r="G110" s="140"/>
      <c r="H110" s="140"/>
      <c r="I110" s="140"/>
      <c r="J110" s="38">
        <f t="shared" si="8"/>
        <v>73948.680000000008</v>
      </c>
      <c r="K110" s="9" t="s">
        <v>123</v>
      </c>
      <c r="L110" s="18">
        <v>0</v>
      </c>
      <c r="M110" s="4">
        <f t="shared" si="9"/>
        <v>0</v>
      </c>
    </row>
    <row r="111" spans="1:13" x14ac:dyDescent="0.25">
      <c r="A111" s="27">
        <v>0.1</v>
      </c>
      <c r="D111" s="26"/>
      <c r="E111" s="46" t="s">
        <v>206</v>
      </c>
      <c r="F111" s="140" t="s">
        <v>88</v>
      </c>
      <c r="G111" s="140"/>
      <c r="H111" s="140"/>
      <c r="I111" s="140"/>
      <c r="J111" s="38">
        <f t="shared" si="8"/>
        <v>32151.600000000002</v>
      </c>
      <c r="K111" s="9" t="s">
        <v>123</v>
      </c>
      <c r="L111" s="18">
        <v>0</v>
      </c>
      <c r="M111" s="4">
        <f t="shared" si="9"/>
        <v>0</v>
      </c>
    </row>
    <row r="112" spans="1:13" x14ac:dyDescent="0.25">
      <c r="A112" s="27">
        <v>0.05</v>
      </c>
      <c r="D112" s="26"/>
      <c r="E112" s="46" t="s">
        <v>207</v>
      </c>
      <c r="F112" s="140" t="s">
        <v>89</v>
      </c>
      <c r="G112" s="140"/>
      <c r="H112" s="140"/>
      <c r="I112" s="140"/>
      <c r="J112" s="38">
        <f t="shared" si="8"/>
        <v>16075.800000000001</v>
      </c>
      <c r="K112" s="9" t="s">
        <v>123</v>
      </c>
      <c r="L112" s="18">
        <v>0</v>
      </c>
      <c r="M112" s="4">
        <f t="shared" si="9"/>
        <v>0</v>
      </c>
    </row>
    <row r="113" spans="1:13" ht="30" customHeight="1" x14ac:dyDescent="0.25">
      <c r="A113" s="27">
        <v>0.05</v>
      </c>
      <c r="D113" s="26"/>
      <c r="E113" s="46" t="s">
        <v>208</v>
      </c>
      <c r="F113" s="140" t="s">
        <v>90</v>
      </c>
      <c r="G113" s="140"/>
      <c r="H113" s="140"/>
      <c r="I113" s="140"/>
      <c r="J113" s="38">
        <f t="shared" si="8"/>
        <v>16075.800000000001</v>
      </c>
      <c r="K113" s="9" t="s">
        <v>123</v>
      </c>
      <c r="L113" s="18">
        <v>0</v>
      </c>
      <c r="M113" s="4">
        <f t="shared" si="9"/>
        <v>0</v>
      </c>
    </row>
    <row r="114" spans="1:13" x14ac:dyDescent="0.25">
      <c r="A114" s="27">
        <v>0.25</v>
      </c>
      <c r="D114" s="26"/>
      <c r="E114" s="46" t="s">
        <v>209</v>
      </c>
      <c r="F114" s="140" t="s">
        <v>93</v>
      </c>
      <c r="G114" s="140"/>
      <c r="H114" s="140"/>
      <c r="I114" s="140"/>
      <c r="J114" s="38">
        <f t="shared" si="8"/>
        <v>80379</v>
      </c>
      <c r="K114" s="9" t="s">
        <v>123</v>
      </c>
      <c r="L114" s="18">
        <v>0</v>
      </c>
      <c r="M114" s="4">
        <f t="shared" si="9"/>
        <v>0</v>
      </c>
    </row>
    <row r="115" spans="1:13" x14ac:dyDescent="0.25">
      <c r="A115" s="27">
        <v>0.03</v>
      </c>
      <c r="D115" s="26"/>
      <c r="E115" s="46" t="s">
        <v>210</v>
      </c>
      <c r="F115" s="140" t="s">
        <v>222</v>
      </c>
      <c r="G115" s="140"/>
      <c r="H115" s="140"/>
      <c r="I115" s="140"/>
      <c r="J115" s="38">
        <f t="shared" si="8"/>
        <v>9645.48</v>
      </c>
      <c r="K115" s="9" t="s">
        <v>123</v>
      </c>
      <c r="L115" s="18">
        <v>0</v>
      </c>
      <c r="M115" s="4">
        <f t="shared" si="9"/>
        <v>0</v>
      </c>
    </row>
    <row r="116" spans="1:13" x14ac:dyDescent="0.25">
      <c r="A116" s="27">
        <v>0.05</v>
      </c>
      <c r="D116" s="26"/>
      <c r="E116" s="46" t="s">
        <v>211</v>
      </c>
      <c r="F116" s="140" t="s">
        <v>94</v>
      </c>
      <c r="G116" s="140"/>
      <c r="H116" s="140"/>
      <c r="I116" s="140"/>
      <c r="J116" s="38">
        <f t="shared" si="8"/>
        <v>16075.800000000001</v>
      </c>
      <c r="K116" s="9" t="s">
        <v>123</v>
      </c>
      <c r="L116" s="18">
        <v>0</v>
      </c>
      <c r="M116" s="4">
        <f t="shared" si="9"/>
        <v>0</v>
      </c>
    </row>
    <row r="117" spans="1:13" ht="30" customHeight="1" x14ac:dyDescent="0.25">
      <c r="A117" s="27">
        <v>0.05</v>
      </c>
      <c r="D117" s="26"/>
      <c r="E117" s="46" t="s">
        <v>212</v>
      </c>
      <c r="F117" s="141" t="s">
        <v>95</v>
      </c>
      <c r="G117" s="141"/>
      <c r="H117" s="141"/>
      <c r="I117" s="141"/>
      <c r="J117" s="38">
        <f t="shared" si="8"/>
        <v>16075.800000000001</v>
      </c>
      <c r="K117" s="9" t="s">
        <v>123</v>
      </c>
      <c r="L117" s="18">
        <v>0</v>
      </c>
      <c r="M117" s="4">
        <f t="shared" si="9"/>
        <v>0</v>
      </c>
    </row>
    <row r="118" spans="1:13" x14ac:dyDescent="0.25">
      <c r="A118" s="27">
        <v>0.2</v>
      </c>
      <c r="D118" s="26"/>
      <c r="E118" s="46" t="s">
        <v>213</v>
      </c>
      <c r="F118" s="140" t="s">
        <v>96</v>
      </c>
      <c r="G118" s="140"/>
      <c r="H118" s="140"/>
      <c r="I118" s="140"/>
      <c r="J118" s="38">
        <f t="shared" si="8"/>
        <v>64303.200000000004</v>
      </c>
      <c r="K118" s="9" t="s">
        <v>123</v>
      </c>
      <c r="L118" s="18">
        <v>0</v>
      </c>
      <c r="M118" s="4">
        <f t="shared" si="9"/>
        <v>0</v>
      </c>
    </row>
    <row r="119" spans="1:13" x14ac:dyDescent="0.25">
      <c r="A119" s="27">
        <v>0.15</v>
      </c>
      <c r="D119" s="26"/>
      <c r="E119" s="46" t="s">
        <v>214</v>
      </c>
      <c r="F119" s="140" t="s">
        <v>97</v>
      </c>
      <c r="G119" s="140"/>
      <c r="H119" s="140"/>
      <c r="I119" s="140"/>
      <c r="J119" s="38">
        <f t="shared" si="8"/>
        <v>48227.4</v>
      </c>
      <c r="K119" s="9" t="s">
        <v>123</v>
      </c>
      <c r="L119" s="18">
        <v>0</v>
      </c>
      <c r="M119" s="4">
        <f t="shared" si="9"/>
        <v>0</v>
      </c>
    </row>
    <row r="120" spans="1:13" x14ac:dyDescent="0.25">
      <c r="A120" s="27">
        <v>0.15</v>
      </c>
      <c r="D120" s="26"/>
      <c r="E120" s="46" t="s">
        <v>215</v>
      </c>
      <c r="F120" s="140" t="s">
        <v>98</v>
      </c>
      <c r="G120" s="140"/>
      <c r="H120" s="140"/>
      <c r="I120" s="140"/>
      <c r="J120" s="38">
        <f t="shared" si="8"/>
        <v>48227.4</v>
      </c>
      <c r="K120" s="9" t="s">
        <v>123</v>
      </c>
      <c r="L120" s="18">
        <v>0</v>
      </c>
      <c r="M120" s="4">
        <f t="shared" si="9"/>
        <v>0</v>
      </c>
    </row>
    <row r="121" spans="1:13" x14ac:dyDescent="0.25">
      <c r="A121" s="27">
        <v>0.05</v>
      </c>
      <c r="D121" s="26"/>
      <c r="E121" s="46" t="s">
        <v>216</v>
      </c>
      <c r="F121" s="140" t="s">
        <v>99</v>
      </c>
      <c r="G121" s="140"/>
      <c r="H121" s="140"/>
      <c r="I121" s="140"/>
      <c r="J121" s="38">
        <f t="shared" si="8"/>
        <v>16075.800000000001</v>
      </c>
      <c r="K121" s="9" t="s">
        <v>123</v>
      </c>
      <c r="L121" s="18">
        <v>0</v>
      </c>
      <c r="M121" s="4">
        <f t="shared" si="9"/>
        <v>0</v>
      </c>
    </row>
    <row r="122" spans="1:13" x14ac:dyDescent="0.25">
      <c r="A122" s="27">
        <v>0.15</v>
      </c>
      <c r="D122" s="26"/>
      <c r="E122" s="46" t="s">
        <v>217</v>
      </c>
      <c r="F122" s="140" t="s">
        <v>218</v>
      </c>
      <c r="G122" s="140"/>
      <c r="H122" s="140"/>
      <c r="I122" s="140"/>
      <c r="J122" s="38">
        <f t="shared" si="8"/>
        <v>48227.4</v>
      </c>
      <c r="K122" s="9" t="s">
        <v>123</v>
      </c>
      <c r="L122" s="18">
        <v>0</v>
      </c>
      <c r="M122" s="4">
        <f>+L122*J122</f>
        <v>0</v>
      </c>
    </row>
    <row r="123" spans="1:13" ht="45" customHeight="1" x14ac:dyDescent="0.25">
      <c r="A123" s="27"/>
      <c r="D123" s="26"/>
      <c r="E123" s="46"/>
      <c r="F123" s="141" t="s">
        <v>225</v>
      </c>
      <c r="G123" s="141"/>
      <c r="H123" s="141"/>
      <c r="I123" s="141"/>
      <c r="J123" s="38"/>
      <c r="K123" s="9"/>
      <c r="L123" s="8"/>
      <c r="M123" s="15">
        <v>0</v>
      </c>
    </row>
    <row r="124" spans="1:13" ht="45" customHeight="1" x14ac:dyDescent="0.25">
      <c r="A124" s="27"/>
      <c r="D124" s="26"/>
      <c r="E124" s="46"/>
      <c r="F124" s="141" t="s">
        <v>224</v>
      </c>
      <c r="G124" s="141"/>
      <c r="H124" s="141"/>
      <c r="I124" s="141"/>
      <c r="J124" s="38"/>
      <c r="K124" s="9"/>
      <c r="L124" s="8"/>
      <c r="M124" s="15">
        <v>0</v>
      </c>
    </row>
    <row r="125" spans="1:13" x14ac:dyDescent="0.25">
      <c r="D125" s="26"/>
      <c r="E125" s="143"/>
      <c r="F125" s="143"/>
      <c r="G125" s="143"/>
      <c r="H125" s="143"/>
      <c r="I125" s="143"/>
      <c r="J125" s="143"/>
      <c r="K125" s="143"/>
      <c r="L125" s="143"/>
      <c r="M125" s="143"/>
    </row>
    <row r="126" spans="1:13" x14ac:dyDescent="0.25">
      <c r="D126" s="26"/>
      <c r="E126" s="137" t="s">
        <v>352</v>
      </c>
      <c r="F126" s="137"/>
      <c r="G126" s="137"/>
      <c r="H126" s="137"/>
      <c r="I126" s="137"/>
      <c r="J126" s="137"/>
      <c r="K126" s="137"/>
      <c r="L126" s="137"/>
      <c r="M126" s="63">
        <f>+M124+M123+M122+M121+M120+M119+M118+M117+M116+M115+M114+M113+M112+M111+M110+M109+M108+M107+M106+M105+M104+M103+M102</f>
        <v>0</v>
      </c>
    </row>
    <row r="127" spans="1:13" x14ac:dyDescent="0.25">
      <c r="D127" s="26"/>
      <c r="E127" s="138"/>
      <c r="F127" s="138"/>
      <c r="G127" s="138"/>
      <c r="H127" s="138"/>
      <c r="I127" s="138"/>
      <c r="J127" s="138"/>
      <c r="K127" s="138"/>
      <c r="L127" s="138"/>
      <c r="M127" s="138"/>
    </row>
    <row r="128" spans="1:13" x14ac:dyDescent="0.25">
      <c r="D128" s="26"/>
      <c r="E128" s="152"/>
      <c r="F128" s="152"/>
      <c r="G128" s="152"/>
      <c r="H128" s="152"/>
      <c r="I128" s="152"/>
      <c r="J128" s="152"/>
      <c r="K128" s="152"/>
      <c r="L128" s="152"/>
      <c r="M128" s="152"/>
    </row>
    <row r="129" spans="1:13" x14ac:dyDescent="0.25">
      <c r="D129" s="26"/>
      <c r="E129" s="158"/>
      <c r="F129" s="158"/>
      <c r="G129" s="158"/>
      <c r="H129" s="158"/>
      <c r="I129" s="158"/>
      <c r="J129" s="158"/>
      <c r="K129" s="158"/>
      <c r="L129" s="158"/>
      <c r="M129" s="4"/>
    </row>
    <row r="130" spans="1:13" x14ac:dyDescent="0.25">
      <c r="D130" s="26"/>
      <c r="E130" s="152"/>
      <c r="F130" s="152"/>
      <c r="G130" s="152"/>
      <c r="H130" s="152"/>
      <c r="I130" s="152"/>
      <c r="J130" s="152"/>
      <c r="K130" s="152"/>
      <c r="L130" s="152"/>
      <c r="M130" s="152"/>
    </row>
    <row r="131" spans="1:13" x14ac:dyDescent="0.25">
      <c r="B131" s="28"/>
      <c r="D131" s="26"/>
      <c r="E131" s="16" t="s">
        <v>117</v>
      </c>
      <c r="F131" s="136" t="s">
        <v>132</v>
      </c>
      <c r="G131" s="136"/>
      <c r="H131" s="136"/>
      <c r="I131" s="136"/>
      <c r="J131" s="136"/>
      <c r="K131" s="136"/>
      <c r="L131" s="136"/>
      <c r="M131" s="136"/>
    </row>
    <row r="132" spans="1:13" ht="17.25" x14ac:dyDescent="0.25">
      <c r="B132" s="28"/>
      <c r="D132" s="26"/>
      <c r="E132" s="16"/>
      <c r="F132" s="69"/>
      <c r="G132" s="69"/>
      <c r="H132" s="69"/>
      <c r="I132" s="54" t="s">
        <v>128</v>
      </c>
      <c r="K132" s="69"/>
      <c r="L132" s="54" t="s">
        <v>129</v>
      </c>
      <c r="M132" s="69"/>
    </row>
    <row r="133" spans="1:13" x14ac:dyDescent="0.25">
      <c r="A133" s="17">
        <v>9.5000000000000001E-2</v>
      </c>
      <c r="B133" s="36"/>
      <c r="D133" s="36"/>
      <c r="E133" s="46" t="s">
        <v>118</v>
      </c>
      <c r="F133" s="139" t="s">
        <v>11</v>
      </c>
      <c r="G133" s="139"/>
      <c r="H133" s="170"/>
      <c r="I133" s="55"/>
      <c r="J133" s="53">
        <f>+A133*$I$234</f>
        <v>30544.02</v>
      </c>
      <c r="K133" s="9"/>
      <c r="L133" s="56"/>
      <c r="M133" s="4">
        <f>L133*I133*J133</f>
        <v>0</v>
      </c>
    </row>
    <row r="134" spans="1:13" x14ac:dyDescent="0.25">
      <c r="A134" s="17">
        <v>9.5000000000000001E-2</v>
      </c>
      <c r="B134" s="36"/>
      <c r="D134" s="36"/>
      <c r="E134" s="46" t="s">
        <v>119</v>
      </c>
      <c r="F134" s="139" t="s">
        <v>249</v>
      </c>
      <c r="G134" s="139"/>
      <c r="H134" s="170"/>
      <c r="I134" s="55">
        <v>0</v>
      </c>
      <c r="J134" s="53">
        <f>+A134*$I$234</f>
        <v>30544.02</v>
      </c>
      <c r="K134" s="9"/>
      <c r="L134" s="56">
        <v>0</v>
      </c>
      <c r="M134" s="4">
        <f>+L134*I134*J134</f>
        <v>0</v>
      </c>
    </row>
    <row r="135" spans="1:13" x14ac:dyDescent="0.25">
      <c r="A135" s="17">
        <v>7.4999999999999997E-2</v>
      </c>
      <c r="B135" s="36"/>
      <c r="D135" s="36"/>
      <c r="E135" s="46" t="s">
        <v>227</v>
      </c>
      <c r="F135" s="139" t="s">
        <v>250</v>
      </c>
      <c r="G135" s="139"/>
      <c r="H135" s="170"/>
      <c r="I135" s="55">
        <v>0</v>
      </c>
      <c r="J135" s="53">
        <f>+A135*$I$234</f>
        <v>24113.7</v>
      </c>
      <c r="K135" s="9"/>
      <c r="L135" s="56"/>
      <c r="M135" s="4">
        <f>+L135*J135*I135</f>
        <v>0</v>
      </c>
    </row>
    <row r="136" spans="1:13" x14ac:dyDescent="0.25">
      <c r="A136" s="17"/>
      <c r="B136" s="36"/>
      <c r="D136" s="36"/>
      <c r="E136" s="46"/>
      <c r="F136" s="46"/>
      <c r="G136" s="46"/>
      <c r="H136" s="46"/>
      <c r="I136" s="46"/>
      <c r="J136" s="46"/>
      <c r="K136" s="46"/>
      <c r="L136" s="46"/>
      <c r="M136" s="46"/>
    </row>
    <row r="137" spans="1:13" ht="30.75" customHeight="1" x14ac:dyDescent="0.25">
      <c r="A137" s="17">
        <v>0.05</v>
      </c>
      <c r="D137" s="10"/>
      <c r="E137" s="46" t="s">
        <v>228</v>
      </c>
      <c r="F137" s="139" t="s">
        <v>251</v>
      </c>
      <c r="G137" s="139"/>
      <c r="H137" s="139"/>
      <c r="I137" s="55"/>
      <c r="J137" s="53">
        <f>+A137*$I$234</f>
        <v>16075.800000000001</v>
      </c>
      <c r="K137" s="9"/>
      <c r="L137" s="56"/>
      <c r="M137" s="4">
        <f>+L137*J137*I137</f>
        <v>0</v>
      </c>
    </row>
    <row r="138" spans="1:13" x14ac:dyDescent="0.25">
      <c r="A138" s="17">
        <v>3.5000000000000003E-2</v>
      </c>
      <c r="D138" s="26"/>
      <c r="E138" s="46" t="s">
        <v>229</v>
      </c>
      <c r="F138" s="139" t="s">
        <v>252</v>
      </c>
      <c r="G138" s="139"/>
      <c r="H138" s="139"/>
      <c r="I138" s="55">
        <v>0</v>
      </c>
      <c r="J138" s="53">
        <f>+A138*$I$234</f>
        <v>11253.060000000001</v>
      </c>
      <c r="K138" s="9"/>
      <c r="L138" s="56">
        <v>0</v>
      </c>
      <c r="M138" s="4">
        <f>+L138*J138*I138</f>
        <v>0</v>
      </c>
    </row>
    <row r="139" spans="1:13" x14ac:dyDescent="0.25">
      <c r="A139" s="17">
        <v>0.02</v>
      </c>
      <c r="D139" s="26"/>
      <c r="E139" s="46" t="s">
        <v>230</v>
      </c>
      <c r="F139" s="139" t="s">
        <v>253</v>
      </c>
      <c r="G139" s="139"/>
      <c r="H139" s="139"/>
      <c r="I139" s="55">
        <v>0</v>
      </c>
      <c r="J139" s="53">
        <f>+A139*$I$234</f>
        <v>6430.32</v>
      </c>
      <c r="K139" s="9"/>
      <c r="L139" s="56"/>
      <c r="M139" s="4">
        <f>+L139*J139*I139</f>
        <v>0</v>
      </c>
    </row>
    <row r="140" spans="1:13" x14ac:dyDescent="0.25">
      <c r="A140" s="37"/>
      <c r="D140" s="26"/>
      <c r="E140" s="46"/>
      <c r="F140" s="46"/>
      <c r="G140" s="46"/>
      <c r="H140" s="46"/>
      <c r="I140" s="46"/>
      <c r="J140" s="46"/>
      <c r="K140" s="46"/>
      <c r="L140" s="46"/>
      <c r="M140" s="46"/>
    </row>
    <row r="141" spans="1:13" x14ac:dyDescent="0.25">
      <c r="D141" s="26"/>
      <c r="E141" s="137" t="s">
        <v>346</v>
      </c>
      <c r="F141" s="137"/>
      <c r="G141" s="137"/>
      <c r="H141" s="137"/>
      <c r="I141" s="137"/>
      <c r="J141" s="137"/>
      <c r="K141" s="137"/>
      <c r="L141" s="137"/>
      <c r="M141" s="63">
        <f>+M133+M134+M135+M137+M138+M139</f>
        <v>0</v>
      </c>
    </row>
    <row r="142" spans="1:13" x14ac:dyDescent="0.25">
      <c r="D142" s="26"/>
      <c r="E142" s="138"/>
      <c r="F142" s="138"/>
      <c r="G142" s="138"/>
      <c r="H142" s="138"/>
      <c r="I142" s="138"/>
      <c r="J142" s="138"/>
      <c r="K142" s="138"/>
      <c r="L142" s="138"/>
      <c r="M142" s="138"/>
    </row>
    <row r="143" spans="1:13" x14ac:dyDescent="0.25">
      <c r="D143" s="26"/>
      <c r="E143" s="16" t="s">
        <v>231</v>
      </c>
      <c r="F143" s="136" t="s">
        <v>255</v>
      </c>
      <c r="G143" s="136"/>
      <c r="H143" s="136"/>
      <c r="I143" s="136"/>
      <c r="J143" s="136"/>
      <c r="K143" s="136"/>
      <c r="L143" s="136"/>
      <c r="M143" s="136"/>
    </row>
    <row r="144" spans="1:13" x14ac:dyDescent="0.25">
      <c r="D144" s="26"/>
      <c r="E144" s="46" t="s">
        <v>232</v>
      </c>
      <c r="F144" s="139" t="s">
        <v>256</v>
      </c>
      <c r="G144" s="139"/>
      <c r="H144" s="170"/>
      <c r="I144" s="76"/>
      <c r="J144" s="53">
        <f>+J137</f>
        <v>16075.800000000001</v>
      </c>
      <c r="K144" s="9"/>
      <c r="L144" s="56">
        <v>0</v>
      </c>
      <c r="M144" s="4">
        <f>+L144*J144*0.25</f>
        <v>0</v>
      </c>
    </row>
    <row r="145" spans="1:13" x14ac:dyDescent="0.25">
      <c r="D145" s="26"/>
      <c r="E145" s="46" t="s">
        <v>233</v>
      </c>
      <c r="F145" s="139" t="s">
        <v>257</v>
      </c>
      <c r="G145" s="139"/>
      <c r="H145" s="170"/>
      <c r="I145" s="76"/>
      <c r="J145" s="53">
        <f>+J133</f>
        <v>30544.02</v>
      </c>
      <c r="K145" s="9"/>
      <c r="L145" s="56">
        <v>0</v>
      </c>
      <c r="M145" s="4">
        <f>+L145*J145*0.5</f>
        <v>0</v>
      </c>
    </row>
    <row r="146" spans="1:13" x14ac:dyDescent="0.25">
      <c r="D146" s="26"/>
      <c r="E146" s="46" t="s">
        <v>258</v>
      </c>
      <c r="F146" s="139" t="s">
        <v>259</v>
      </c>
      <c r="G146" s="139"/>
      <c r="H146" s="170"/>
      <c r="I146" s="76"/>
      <c r="J146" s="53">
        <f>+J134</f>
        <v>30544.02</v>
      </c>
      <c r="K146" s="9"/>
      <c r="L146" s="56">
        <v>0</v>
      </c>
      <c r="M146" s="4">
        <f>IF(L146&lt;20.01,J146*L146*0,J146*L146)</f>
        <v>0</v>
      </c>
    </row>
    <row r="147" spans="1:13" x14ac:dyDescent="0.25">
      <c r="D147" s="26"/>
      <c r="E147" s="46" t="s">
        <v>260</v>
      </c>
      <c r="F147" s="139" t="s">
        <v>261</v>
      </c>
      <c r="G147" s="139"/>
      <c r="H147" s="170"/>
      <c r="I147" s="76"/>
      <c r="J147" s="53">
        <f>+J138</f>
        <v>11253.060000000001</v>
      </c>
      <c r="K147" s="9"/>
      <c r="L147" s="56">
        <v>0</v>
      </c>
      <c r="M147" s="4">
        <f>+L147*J147*0.5</f>
        <v>0</v>
      </c>
    </row>
    <row r="148" spans="1:13" x14ac:dyDescent="0.25">
      <c r="D148" s="26"/>
      <c r="E148" s="46" t="s">
        <v>262</v>
      </c>
      <c r="F148" s="139" t="s">
        <v>268</v>
      </c>
      <c r="G148" s="139"/>
      <c r="H148" s="170"/>
      <c r="I148" s="76"/>
      <c r="J148" s="53">
        <f>+J139</f>
        <v>6430.32</v>
      </c>
      <c r="K148" s="9"/>
      <c r="L148" s="56">
        <v>0</v>
      </c>
      <c r="M148" s="4">
        <f>IF(L148&lt;15.01,J148*L148*0,J148*L148)</f>
        <v>0</v>
      </c>
    </row>
    <row r="149" spans="1:13" x14ac:dyDescent="0.25">
      <c r="D149" s="26"/>
      <c r="E149" s="46"/>
      <c r="F149" s="76"/>
      <c r="G149" s="76"/>
      <c r="H149" s="76"/>
      <c r="I149" s="76"/>
      <c r="J149" s="76"/>
      <c r="K149" s="76"/>
      <c r="L149" s="76"/>
      <c r="M149" s="76"/>
    </row>
    <row r="150" spans="1:13" x14ac:dyDescent="0.25">
      <c r="D150" s="26"/>
      <c r="E150" s="137" t="s">
        <v>347</v>
      </c>
      <c r="F150" s="137"/>
      <c r="G150" s="137"/>
      <c r="H150" s="137"/>
      <c r="I150" s="137"/>
      <c r="J150" s="137"/>
      <c r="K150" s="137"/>
      <c r="L150" s="137"/>
      <c r="M150" s="63">
        <f>+M144+M145+M146+M147+M148</f>
        <v>0</v>
      </c>
    </row>
    <row r="151" spans="1:13" x14ac:dyDescent="0.25">
      <c r="C151" s="26"/>
      <c r="E151" s="138"/>
      <c r="F151" s="138"/>
      <c r="G151" s="138"/>
      <c r="H151" s="138"/>
      <c r="I151" s="138"/>
      <c r="J151" s="138"/>
      <c r="K151" s="138"/>
      <c r="L151" s="138"/>
      <c r="M151" s="138"/>
    </row>
    <row r="152" spans="1:13" x14ac:dyDescent="0.25">
      <c r="B152" s="28"/>
      <c r="D152" s="26"/>
      <c r="E152" s="16" t="s">
        <v>366</v>
      </c>
      <c r="F152" s="136" t="s">
        <v>358</v>
      </c>
      <c r="G152" s="136"/>
      <c r="H152" s="136"/>
      <c r="I152" s="136"/>
      <c r="J152" s="136"/>
      <c r="K152" s="136"/>
      <c r="L152" s="136"/>
      <c r="M152" s="136"/>
    </row>
    <row r="153" spans="1:13" ht="15" customHeight="1" x14ac:dyDescent="0.25">
      <c r="B153" s="28"/>
      <c r="D153" s="26"/>
      <c r="E153" s="16"/>
      <c r="F153" s="69"/>
      <c r="G153" s="69"/>
      <c r="H153" s="54" t="s">
        <v>365</v>
      </c>
      <c r="I153" s="54" t="s">
        <v>128</v>
      </c>
      <c r="K153" s="69"/>
      <c r="L153" s="54" t="s">
        <v>129</v>
      </c>
      <c r="M153" s="69"/>
    </row>
    <row r="154" spans="1:13" ht="15" customHeight="1" x14ac:dyDescent="0.25">
      <c r="A154" s="17">
        <v>9.5000000000000001E-2</v>
      </c>
      <c r="B154" s="36"/>
      <c r="D154" s="36"/>
      <c r="E154" s="46" t="s">
        <v>359</v>
      </c>
      <c r="F154" s="139" t="s">
        <v>11</v>
      </c>
      <c r="G154" s="139"/>
      <c r="H154" s="121">
        <v>1</v>
      </c>
      <c r="I154" s="55">
        <v>0</v>
      </c>
      <c r="J154" s="53">
        <f>+A154*$I$234</f>
        <v>30544.02</v>
      </c>
      <c r="K154" s="9"/>
      <c r="L154" s="56">
        <v>0</v>
      </c>
      <c r="M154" s="4">
        <f>L154*I154*J154*H154</f>
        <v>0</v>
      </c>
    </row>
    <row r="155" spans="1:13" ht="15" customHeight="1" x14ac:dyDescent="0.25">
      <c r="A155" s="17">
        <v>9.5000000000000001E-2</v>
      </c>
      <c r="B155" s="36"/>
      <c r="D155" s="36"/>
      <c r="E155" s="46" t="s">
        <v>360</v>
      </c>
      <c r="F155" s="139" t="s">
        <v>249</v>
      </c>
      <c r="G155" s="139"/>
      <c r="H155" s="121">
        <v>1</v>
      </c>
      <c r="I155" s="55">
        <v>0</v>
      </c>
      <c r="J155" s="53">
        <f>+A155*$I$234</f>
        <v>30544.02</v>
      </c>
      <c r="K155" s="9"/>
      <c r="L155" s="56">
        <v>0</v>
      </c>
      <c r="M155" s="4">
        <f t="shared" ref="M155:M160" si="10">L155*I155*J155*H155</f>
        <v>0</v>
      </c>
    </row>
    <row r="156" spans="1:13" ht="15" customHeight="1" x14ac:dyDescent="0.25">
      <c r="A156" s="17">
        <v>7.4999999999999997E-2</v>
      </c>
      <c r="B156" s="36"/>
      <c r="D156" s="36"/>
      <c r="E156" s="46" t="s">
        <v>361</v>
      </c>
      <c r="F156" s="139" t="s">
        <v>250</v>
      </c>
      <c r="G156" s="139"/>
      <c r="H156" s="121">
        <v>1</v>
      </c>
      <c r="I156" s="55">
        <v>0</v>
      </c>
      <c r="J156" s="53">
        <f>+A156*$I$234</f>
        <v>24113.7</v>
      </c>
      <c r="K156" s="9"/>
      <c r="L156" s="56">
        <v>0</v>
      </c>
      <c r="M156" s="4">
        <f t="shared" si="10"/>
        <v>0</v>
      </c>
    </row>
    <row r="157" spans="1:13" ht="15" customHeight="1" x14ac:dyDescent="0.25">
      <c r="A157" s="17"/>
      <c r="B157" s="36"/>
      <c r="D157" s="36"/>
      <c r="E157" s="46"/>
      <c r="F157" s="120"/>
      <c r="G157" s="120"/>
      <c r="H157" s="46"/>
      <c r="I157" s="46"/>
      <c r="J157" s="46"/>
      <c r="K157" s="46"/>
      <c r="L157" s="46"/>
      <c r="M157" s="4"/>
    </row>
    <row r="158" spans="1:13" ht="15" customHeight="1" x14ac:dyDescent="0.25">
      <c r="A158" s="17">
        <v>0.05</v>
      </c>
      <c r="D158" s="10"/>
      <c r="E158" s="46" t="s">
        <v>362</v>
      </c>
      <c r="F158" s="139" t="s">
        <v>251</v>
      </c>
      <c r="G158" s="139"/>
      <c r="H158" s="121">
        <v>1</v>
      </c>
      <c r="I158" s="55">
        <v>0</v>
      </c>
      <c r="J158" s="53">
        <f>+A158*$I$234</f>
        <v>16075.800000000001</v>
      </c>
      <c r="K158" s="9"/>
      <c r="L158" s="56">
        <v>0</v>
      </c>
      <c r="M158" s="4">
        <f t="shared" si="10"/>
        <v>0</v>
      </c>
    </row>
    <row r="159" spans="1:13" ht="15" customHeight="1" x14ac:dyDescent="0.25">
      <c r="A159" s="17">
        <v>3.5000000000000003E-2</v>
      </c>
      <c r="D159" s="26"/>
      <c r="E159" s="46" t="s">
        <v>363</v>
      </c>
      <c r="F159" s="139" t="s">
        <v>252</v>
      </c>
      <c r="G159" s="139"/>
      <c r="H159" s="121">
        <v>1</v>
      </c>
      <c r="I159" s="55">
        <v>0.5</v>
      </c>
      <c r="J159" s="53">
        <f>+A159*$I$234</f>
        <v>11253.060000000001</v>
      </c>
      <c r="K159" s="9"/>
      <c r="L159" s="56">
        <v>0</v>
      </c>
      <c r="M159" s="4">
        <f t="shared" si="10"/>
        <v>0</v>
      </c>
    </row>
    <row r="160" spans="1:13" ht="15" customHeight="1" x14ac:dyDescent="0.25">
      <c r="A160" s="17">
        <v>0.02</v>
      </c>
      <c r="D160" s="26"/>
      <c r="E160" s="46" t="s">
        <v>364</v>
      </c>
      <c r="F160" s="139" t="s">
        <v>253</v>
      </c>
      <c r="G160" s="139"/>
      <c r="H160" s="121">
        <v>1</v>
      </c>
      <c r="I160" s="55">
        <v>0</v>
      </c>
      <c r="J160" s="53">
        <f>+A160*$I$234</f>
        <v>6430.32</v>
      </c>
      <c r="K160" s="9"/>
      <c r="L160" s="56">
        <v>0</v>
      </c>
      <c r="M160" s="4">
        <f t="shared" si="10"/>
        <v>0</v>
      </c>
    </row>
    <row r="161" spans="1:13" x14ac:dyDescent="0.25">
      <c r="A161" s="37"/>
      <c r="D161" s="26"/>
      <c r="E161" s="46"/>
      <c r="F161" s="46"/>
      <c r="G161" s="46"/>
      <c r="H161" s="46"/>
      <c r="I161" s="46"/>
      <c r="J161" s="46"/>
      <c r="K161" s="46"/>
      <c r="L161" s="46"/>
      <c r="M161" s="46"/>
    </row>
    <row r="162" spans="1:13" x14ac:dyDescent="0.25">
      <c r="D162" s="26"/>
      <c r="E162" s="137" t="s">
        <v>367</v>
      </c>
      <c r="F162" s="137"/>
      <c r="G162" s="137"/>
      <c r="H162" s="137"/>
      <c r="I162" s="137"/>
      <c r="J162" s="137"/>
      <c r="K162" s="137"/>
      <c r="L162" s="137"/>
      <c r="M162" s="63">
        <f>+M154+M155+M156+M158+M159+M160</f>
        <v>0</v>
      </c>
    </row>
    <row r="163" spans="1:13" x14ac:dyDescent="0.25">
      <c r="D163" s="26"/>
      <c r="E163" s="138"/>
      <c r="F163" s="138"/>
      <c r="G163" s="138"/>
      <c r="H163" s="138"/>
      <c r="I163" s="138"/>
      <c r="J163" s="138"/>
      <c r="K163" s="138"/>
      <c r="L163" s="138"/>
      <c r="M163" s="138"/>
    </row>
    <row r="164" spans="1:13" x14ac:dyDescent="0.25">
      <c r="C164" s="26"/>
      <c r="E164" s="16" t="s">
        <v>234</v>
      </c>
      <c r="F164" s="136" t="s">
        <v>10</v>
      </c>
      <c r="G164" s="136"/>
      <c r="H164" s="136"/>
      <c r="I164" s="136"/>
      <c r="J164" s="136"/>
      <c r="K164" s="136"/>
      <c r="L164" s="136"/>
      <c r="M164" s="136"/>
    </row>
    <row r="165" spans="1:13" ht="30" customHeight="1" x14ac:dyDescent="0.25">
      <c r="C165" s="26"/>
      <c r="E165" s="46" t="s">
        <v>235</v>
      </c>
      <c r="F165" s="141" t="s">
        <v>103</v>
      </c>
      <c r="G165" s="141"/>
      <c r="H165" s="54"/>
      <c r="I165" s="48" t="s">
        <v>9</v>
      </c>
      <c r="J165" s="39">
        <f>$I$231/$I$228*30000</f>
        <v>105774.88881286347</v>
      </c>
      <c r="K165" s="9" t="s">
        <v>123</v>
      </c>
      <c r="L165" s="18">
        <v>0</v>
      </c>
      <c r="M165" s="4">
        <f>+J165*L165</f>
        <v>0</v>
      </c>
    </row>
    <row r="166" spans="1:13" ht="17.25" x14ac:dyDescent="0.25">
      <c r="C166" s="26"/>
      <c r="E166" s="46"/>
      <c r="F166" s="156"/>
      <c r="G166" s="156"/>
      <c r="H166" s="54"/>
      <c r="I166" s="48" t="s">
        <v>152</v>
      </c>
      <c r="J166" s="45">
        <f>102*$I$231/$I$228</f>
        <v>359.63462196373587</v>
      </c>
      <c r="K166" s="9" t="s">
        <v>124</v>
      </c>
      <c r="L166" s="20">
        <v>0</v>
      </c>
      <c r="M166" s="4">
        <f>IF(L166&lt;701,0,(L166-700)*J166)</f>
        <v>0</v>
      </c>
    </row>
    <row r="167" spans="1:13" x14ac:dyDescent="0.25">
      <c r="C167" s="26"/>
      <c r="E167" s="157"/>
      <c r="F167" s="157"/>
      <c r="G167" s="157"/>
      <c r="H167" s="157"/>
      <c r="I167" s="157"/>
      <c r="J167" s="157"/>
      <c r="K167" s="157"/>
      <c r="L167" s="157"/>
      <c r="M167" s="157"/>
    </row>
    <row r="168" spans="1:13" ht="30" customHeight="1" collapsed="1" x14ac:dyDescent="0.25">
      <c r="C168" s="26"/>
      <c r="E168" s="46" t="s">
        <v>236</v>
      </c>
      <c r="F168" s="141" t="s">
        <v>104</v>
      </c>
      <c r="G168" s="141"/>
      <c r="H168" s="54"/>
      <c r="I168" s="48" t="s">
        <v>9</v>
      </c>
      <c r="J168" s="38">
        <f>$I$231/$I$228*30000</f>
        <v>105774.88881286347</v>
      </c>
      <c r="K168" s="9" t="s">
        <v>123</v>
      </c>
      <c r="L168" s="18">
        <v>0</v>
      </c>
      <c r="M168" s="4">
        <f>+J168*L168</f>
        <v>0</v>
      </c>
    </row>
    <row r="169" spans="1:13" ht="17.25" x14ac:dyDescent="0.25">
      <c r="C169" s="26"/>
      <c r="E169" s="46"/>
      <c r="F169" s="156"/>
      <c r="G169" s="156"/>
      <c r="H169" s="54"/>
      <c r="I169" s="48" t="s">
        <v>245</v>
      </c>
      <c r="J169" s="45">
        <f>102*$I$231/$I$228</f>
        <v>359.63462196373587</v>
      </c>
      <c r="K169" s="9" t="s">
        <v>124</v>
      </c>
      <c r="L169" s="20">
        <v>0</v>
      </c>
      <c r="M169" s="4">
        <f>IF(L169&lt;1001,0,(L169-1000)*J169)</f>
        <v>0</v>
      </c>
    </row>
    <row r="170" spans="1:13" x14ac:dyDescent="0.25">
      <c r="C170" s="26"/>
      <c r="E170" s="165"/>
      <c r="F170" s="165"/>
      <c r="G170" s="165"/>
      <c r="H170" s="165"/>
      <c r="I170" s="165"/>
      <c r="J170" s="165"/>
      <c r="K170" s="165"/>
      <c r="L170" s="165"/>
      <c r="M170" s="165"/>
    </row>
    <row r="171" spans="1:13" x14ac:dyDescent="0.25">
      <c r="C171" s="26"/>
      <c r="E171" s="166" t="s">
        <v>355</v>
      </c>
      <c r="F171" s="166"/>
      <c r="G171" s="166"/>
      <c r="H171" s="166"/>
      <c r="I171" s="166"/>
      <c r="J171" s="166"/>
      <c r="K171" s="166"/>
      <c r="L171" s="166"/>
      <c r="M171" s="63">
        <f>+M169+M168+M166+M165</f>
        <v>0</v>
      </c>
    </row>
    <row r="172" spans="1:13" x14ac:dyDescent="0.25">
      <c r="C172" s="26"/>
      <c r="E172" s="157"/>
      <c r="F172" s="157"/>
      <c r="G172" s="157"/>
      <c r="H172" s="157"/>
      <c r="I172" s="157"/>
      <c r="J172" s="157"/>
      <c r="K172" s="157"/>
      <c r="L172" s="157"/>
      <c r="M172" s="157"/>
    </row>
    <row r="173" spans="1:13" collapsed="1" x14ac:dyDescent="0.25">
      <c r="C173" s="26"/>
      <c r="E173" s="16" t="s">
        <v>237</v>
      </c>
      <c r="F173" s="136" t="s">
        <v>264</v>
      </c>
      <c r="G173" s="136"/>
      <c r="H173" s="136"/>
      <c r="I173" s="136"/>
      <c r="J173" s="136"/>
      <c r="K173" s="136"/>
      <c r="L173" s="136"/>
      <c r="M173" s="136"/>
    </row>
    <row r="174" spans="1:13" x14ac:dyDescent="0.25">
      <c r="C174" s="26">
        <v>250000</v>
      </c>
      <c r="E174" s="46" t="s">
        <v>238</v>
      </c>
      <c r="F174" s="141" t="s">
        <v>265</v>
      </c>
      <c r="G174" s="141"/>
      <c r="H174" s="54"/>
      <c r="I174" s="48" t="s">
        <v>381</v>
      </c>
      <c r="J174" s="86">
        <f>$M$229/$M$228*C174</f>
        <v>344153.63698164513</v>
      </c>
      <c r="K174" s="9"/>
      <c r="L174" s="85">
        <v>0</v>
      </c>
      <c r="M174" s="4">
        <f>+J174*L174</f>
        <v>0</v>
      </c>
    </row>
    <row r="175" spans="1:13" x14ac:dyDescent="0.25">
      <c r="C175" s="26"/>
      <c r="E175" s="165"/>
      <c r="F175" s="165"/>
      <c r="G175" s="165"/>
      <c r="H175" s="165"/>
      <c r="I175" s="165"/>
      <c r="J175" s="165"/>
      <c r="K175" s="165"/>
      <c r="L175" s="165"/>
      <c r="M175" s="165"/>
    </row>
    <row r="176" spans="1:13" x14ac:dyDescent="0.25">
      <c r="C176" s="26"/>
      <c r="E176" s="166" t="s">
        <v>314</v>
      </c>
      <c r="F176" s="166"/>
      <c r="G176" s="166"/>
      <c r="H176" s="166"/>
      <c r="I176" s="166"/>
      <c r="J176" s="166"/>
      <c r="K176" s="166"/>
      <c r="L176" s="166"/>
      <c r="M176" s="63">
        <f>+M174</f>
        <v>0</v>
      </c>
    </row>
    <row r="177" spans="3:13" x14ac:dyDescent="0.25">
      <c r="C177" s="26"/>
      <c r="E177" s="157"/>
      <c r="F177" s="157"/>
      <c r="G177" s="157"/>
      <c r="H177" s="157"/>
      <c r="I177" s="157"/>
      <c r="J177" s="157"/>
      <c r="K177" s="157"/>
      <c r="L177" s="157"/>
      <c r="M177" s="157"/>
    </row>
    <row r="178" spans="3:13" x14ac:dyDescent="0.25">
      <c r="C178" s="26"/>
      <c r="E178" s="16" t="s">
        <v>315</v>
      </c>
      <c r="F178" s="136" t="s">
        <v>267</v>
      </c>
      <c r="G178" s="136"/>
      <c r="H178" s="136"/>
      <c r="I178" s="136"/>
      <c r="J178" s="136"/>
      <c r="K178" s="136"/>
      <c r="L178" s="136"/>
      <c r="M178" s="136"/>
    </row>
    <row r="179" spans="3:13" ht="45" x14ac:dyDescent="0.25">
      <c r="C179" s="26"/>
      <c r="F179" s="167" t="s">
        <v>269</v>
      </c>
      <c r="G179" s="167"/>
      <c r="H179" s="167"/>
      <c r="I179" s="91" t="s">
        <v>271</v>
      </c>
      <c r="J179" s="91" t="s">
        <v>270</v>
      </c>
      <c r="K179" s="62"/>
      <c r="L179" s="91" t="s">
        <v>282</v>
      </c>
      <c r="M179" s="62"/>
    </row>
    <row r="180" spans="3:13" x14ac:dyDescent="0.25">
      <c r="C180" s="26">
        <v>182973</v>
      </c>
      <c r="D180">
        <v>1830</v>
      </c>
      <c r="E180" s="46" t="s">
        <v>316</v>
      </c>
      <c r="F180" s="167" t="s">
        <v>272</v>
      </c>
      <c r="G180" s="167"/>
      <c r="H180" s="167"/>
      <c r="I180" s="87">
        <f t="shared" ref="I180:J187" si="11">$M$229/$M$228*C180</f>
        <v>251883.29367777021</v>
      </c>
      <c r="J180" s="87">
        <f t="shared" si="11"/>
        <v>2519.2046227056426</v>
      </c>
      <c r="K180" s="9"/>
      <c r="L180" s="81"/>
      <c r="M180" s="87">
        <f t="shared" ref="M180:M187" si="12">IF(L180=0,0,IF(L180&lt;35.01,I180,I180+J180*(L180-35)))</f>
        <v>0</v>
      </c>
    </row>
    <row r="181" spans="3:13" x14ac:dyDescent="0.25">
      <c r="C181" s="26">
        <v>236755</v>
      </c>
      <c r="D181">
        <v>2367</v>
      </c>
      <c r="E181" s="46" t="s">
        <v>317</v>
      </c>
      <c r="F181" s="167" t="s">
        <v>273</v>
      </c>
      <c r="G181" s="167"/>
      <c r="H181" s="167"/>
      <c r="I181" s="87">
        <f t="shared" si="11"/>
        <v>325920.37729435758</v>
      </c>
      <c r="J181" s="87">
        <f t="shared" si="11"/>
        <v>3258.446634942216</v>
      </c>
      <c r="K181" s="9"/>
      <c r="L181" s="81">
        <v>0</v>
      </c>
      <c r="M181" s="87">
        <f t="shared" si="12"/>
        <v>0</v>
      </c>
    </row>
    <row r="182" spans="3:13" x14ac:dyDescent="0.25">
      <c r="C182" s="26">
        <v>306489</v>
      </c>
      <c r="D182">
        <v>3065</v>
      </c>
      <c r="E182" s="46" t="s">
        <v>318</v>
      </c>
      <c r="F182" s="167" t="s">
        <v>274</v>
      </c>
      <c r="G182" s="167"/>
      <c r="H182" s="167"/>
      <c r="I182" s="87">
        <f t="shared" si="11"/>
        <v>421917.21617946977</v>
      </c>
      <c r="J182" s="87">
        <f t="shared" si="11"/>
        <v>4219.3235893949695</v>
      </c>
      <c r="K182" s="9"/>
      <c r="L182" s="81">
        <v>0</v>
      </c>
      <c r="M182" s="87">
        <f t="shared" si="12"/>
        <v>0</v>
      </c>
    </row>
    <row r="183" spans="3:13" x14ac:dyDescent="0.25">
      <c r="C183" s="26">
        <v>441989</v>
      </c>
      <c r="D183">
        <v>4420</v>
      </c>
      <c r="E183" s="46" t="s">
        <v>319</v>
      </c>
      <c r="F183" s="167" t="s">
        <v>275</v>
      </c>
      <c r="G183" s="167"/>
      <c r="H183" s="167"/>
      <c r="I183" s="87">
        <f t="shared" si="11"/>
        <v>608448.48742352147</v>
      </c>
      <c r="J183" s="87">
        <f t="shared" si="11"/>
        <v>6084.6363018354859</v>
      </c>
      <c r="K183" s="9"/>
      <c r="L183" s="81">
        <v>0</v>
      </c>
      <c r="M183" s="87">
        <f t="shared" si="12"/>
        <v>0</v>
      </c>
    </row>
    <row r="184" spans="3:13" x14ac:dyDescent="0.25">
      <c r="C184" s="26">
        <v>590556</v>
      </c>
      <c r="D184">
        <v>5906</v>
      </c>
      <c r="E184" s="46" t="s">
        <v>320</v>
      </c>
      <c r="F184" s="167" t="s">
        <v>276</v>
      </c>
      <c r="G184" s="167"/>
      <c r="H184" s="167"/>
      <c r="I184" s="87">
        <f t="shared" si="11"/>
        <v>812967.98096532968</v>
      </c>
      <c r="J184" s="87">
        <f t="shared" si="11"/>
        <v>8130.2855200543845</v>
      </c>
      <c r="K184" s="9"/>
      <c r="L184" s="81">
        <v>0</v>
      </c>
      <c r="M184" s="87">
        <f t="shared" si="12"/>
        <v>0</v>
      </c>
    </row>
    <row r="185" spans="3:13" x14ac:dyDescent="0.25">
      <c r="C185" s="26">
        <v>859478</v>
      </c>
      <c r="D185">
        <v>8595</v>
      </c>
      <c r="E185" s="46" t="s">
        <v>321</v>
      </c>
      <c r="F185" s="167" t="s">
        <v>277</v>
      </c>
      <c r="G185" s="167"/>
      <c r="H185" s="167"/>
      <c r="I185" s="87">
        <f t="shared" si="11"/>
        <v>1183169.9184228417</v>
      </c>
      <c r="J185" s="87">
        <f t="shared" si="11"/>
        <v>11832.00203942896</v>
      </c>
      <c r="K185" s="9"/>
      <c r="L185" s="81">
        <v>0</v>
      </c>
      <c r="M185" s="87">
        <f t="shared" si="12"/>
        <v>0</v>
      </c>
    </row>
    <row r="186" spans="3:13" x14ac:dyDescent="0.25">
      <c r="C186" s="26">
        <v>959513</v>
      </c>
      <c r="D186">
        <v>9595</v>
      </c>
      <c r="E186" s="46" t="s">
        <v>322</v>
      </c>
      <c r="F186" s="167" t="s">
        <v>278</v>
      </c>
      <c r="G186" s="167"/>
      <c r="H186" s="167"/>
      <c r="I186" s="87">
        <f t="shared" si="11"/>
        <v>1320879.554724677</v>
      </c>
      <c r="J186" s="87">
        <f t="shared" si="11"/>
        <v>13208.61658735554</v>
      </c>
      <c r="K186" s="9"/>
      <c r="L186" s="81">
        <v>0</v>
      </c>
      <c r="M186" s="87">
        <f t="shared" si="12"/>
        <v>0</v>
      </c>
    </row>
    <row r="187" spans="3:13" x14ac:dyDescent="0.25">
      <c r="C187" s="26">
        <v>1123811</v>
      </c>
      <c r="D187">
        <v>11238</v>
      </c>
      <c r="E187" s="46" t="s">
        <v>323</v>
      </c>
      <c r="F187" s="167" t="s">
        <v>279</v>
      </c>
      <c r="G187" s="167"/>
      <c r="H187" s="167"/>
      <c r="I187" s="87">
        <f t="shared" si="11"/>
        <v>1547054.5717199184</v>
      </c>
      <c r="J187" s="87">
        <f t="shared" si="11"/>
        <v>15470.394289598913</v>
      </c>
      <c r="K187" s="9"/>
      <c r="L187" s="81">
        <v>0</v>
      </c>
      <c r="M187" s="87">
        <f t="shared" si="12"/>
        <v>0</v>
      </c>
    </row>
    <row r="188" spans="3:13" x14ac:dyDescent="0.25">
      <c r="C188" s="26"/>
      <c r="E188" s="46"/>
      <c r="F188" s="76"/>
      <c r="G188" s="76"/>
      <c r="H188" s="82"/>
      <c r="I188" s="82"/>
      <c r="J188" s="82"/>
      <c r="K188" s="83"/>
      <c r="L188" s="84"/>
      <c r="M188" s="88"/>
    </row>
    <row r="189" spans="3:13" x14ac:dyDescent="0.25">
      <c r="C189" s="26">
        <v>27160</v>
      </c>
      <c r="E189" s="46" t="s">
        <v>324</v>
      </c>
      <c r="F189" s="169" t="s">
        <v>283</v>
      </c>
      <c r="G189" s="169"/>
      <c r="H189" s="169"/>
      <c r="I189" s="169"/>
      <c r="J189" s="169"/>
      <c r="K189" s="83"/>
      <c r="L189" s="85">
        <v>0</v>
      </c>
      <c r="M189" s="88">
        <f>+L189*(($M$229/$M$228)*C189)</f>
        <v>0</v>
      </c>
    </row>
    <row r="190" spans="3:13" x14ac:dyDescent="0.25">
      <c r="C190" s="26"/>
      <c r="E190" s="165"/>
      <c r="F190" s="165"/>
      <c r="G190" s="165"/>
      <c r="H190" s="165"/>
      <c r="I190" s="165"/>
      <c r="J190" s="165"/>
      <c r="K190" s="165"/>
      <c r="L190" s="165"/>
      <c r="M190" s="165"/>
    </row>
    <row r="191" spans="3:13" x14ac:dyDescent="0.25">
      <c r="C191" s="26"/>
      <c r="E191" s="166" t="s">
        <v>325</v>
      </c>
      <c r="F191" s="166"/>
      <c r="G191" s="166"/>
      <c r="H191" s="166"/>
      <c r="I191" s="166"/>
      <c r="J191" s="166"/>
      <c r="K191" s="166"/>
      <c r="L191" s="166"/>
      <c r="M191" s="63">
        <f>+M189+M187+M186+M185+M184+M183+M182+M181+M180</f>
        <v>0</v>
      </c>
    </row>
    <row r="192" spans="3:13" x14ac:dyDescent="0.25">
      <c r="C192" s="26"/>
      <c r="E192" s="157"/>
      <c r="F192" s="157"/>
      <c r="G192" s="157"/>
      <c r="H192" s="157"/>
      <c r="I192" s="157"/>
      <c r="J192" s="157"/>
      <c r="K192" s="157"/>
      <c r="L192" s="157"/>
      <c r="M192" s="157"/>
    </row>
    <row r="193" spans="3:13" x14ac:dyDescent="0.25">
      <c r="C193" s="26"/>
      <c r="E193" s="16" t="s">
        <v>326</v>
      </c>
      <c r="F193" s="136" t="s">
        <v>284</v>
      </c>
      <c r="G193" s="136"/>
      <c r="H193" s="136"/>
      <c r="I193" s="136"/>
      <c r="J193" s="136"/>
      <c r="K193" s="136"/>
      <c r="L193" s="136"/>
      <c r="M193" s="136"/>
    </row>
    <row r="194" spans="3:13" x14ac:dyDescent="0.25">
      <c r="C194" s="26">
        <v>250000</v>
      </c>
      <c r="E194" s="46" t="s">
        <v>327</v>
      </c>
      <c r="F194" s="6" t="s">
        <v>285</v>
      </c>
      <c r="G194" s="6"/>
      <c r="H194" s="6"/>
      <c r="I194" s="48" t="s">
        <v>381</v>
      </c>
      <c r="J194" s="86">
        <f>$M$229/$M$228*C194</f>
        <v>344153.63698164513</v>
      </c>
      <c r="K194" s="9"/>
      <c r="L194" s="85">
        <v>0</v>
      </c>
      <c r="M194" s="4">
        <f>+J194*L194</f>
        <v>0</v>
      </c>
    </row>
    <row r="195" spans="3:13" x14ac:dyDescent="0.25">
      <c r="C195" s="26"/>
      <c r="E195" s="165"/>
      <c r="F195" s="165"/>
      <c r="G195" s="165"/>
      <c r="H195" s="165"/>
      <c r="I195" s="165"/>
      <c r="J195" s="165"/>
      <c r="K195" s="165"/>
      <c r="L195" s="165"/>
      <c r="M195" s="165"/>
    </row>
    <row r="196" spans="3:13" x14ac:dyDescent="0.25">
      <c r="C196" s="26"/>
      <c r="E196" s="166" t="s">
        <v>328</v>
      </c>
      <c r="F196" s="166"/>
      <c r="G196" s="166"/>
      <c r="H196" s="166"/>
      <c r="I196" s="166"/>
      <c r="J196" s="166"/>
      <c r="K196" s="166"/>
      <c r="L196" s="166"/>
      <c r="M196" s="63">
        <f>M194</f>
        <v>0</v>
      </c>
    </row>
    <row r="197" spans="3:13" x14ac:dyDescent="0.25">
      <c r="C197" s="26"/>
      <c r="E197" s="157"/>
      <c r="F197" s="157"/>
      <c r="G197" s="157"/>
      <c r="H197" s="157"/>
      <c r="I197" s="157"/>
      <c r="J197" s="157"/>
      <c r="K197" s="157"/>
      <c r="L197" s="157"/>
      <c r="M197" s="157"/>
    </row>
    <row r="198" spans="3:13" x14ac:dyDescent="0.25">
      <c r="C198" s="26"/>
      <c r="E198" s="16" t="s">
        <v>329</v>
      </c>
      <c r="F198" s="136" t="s">
        <v>286</v>
      </c>
      <c r="G198" s="136"/>
      <c r="H198" s="136"/>
      <c r="I198" s="136"/>
      <c r="J198" s="136"/>
      <c r="K198" s="136"/>
      <c r="L198" s="136"/>
      <c r="M198" s="136"/>
    </row>
    <row r="199" spans="3:13" ht="60" x14ac:dyDescent="0.25">
      <c r="C199" s="26"/>
      <c r="F199" s="97" t="s">
        <v>287</v>
      </c>
      <c r="G199" s="89" t="s">
        <v>288</v>
      </c>
      <c r="H199" s="91" t="s">
        <v>289</v>
      </c>
      <c r="I199" s="8" t="s">
        <v>299</v>
      </c>
      <c r="J199" s="8" t="s">
        <v>290</v>
      </c>
      <c r="K199" s="152" t="s">
        <v>300</v>
      </c>
      <c r="L199" s="152"/>
      <c r="M199" s="69"/>
    </row>
    <row r="200" spans="3:13" x14ac:dyDescent="0.25">
      <c r="C200" s="26">
        <v>8035</v>
      </c>
      <c r="D200">
        <v>22</v>
      </c>
      <c r="E200" s="46" t="s">
        <v>330</v>
      </c>
      <c r="F200" s="6" t="s">
        <v>291</v>
      </c>
      <c r="G200" s="89">
        <v>25</v>
      </c>
      <c r="H200" s="87">
        <f t="shared" ref="H200:H207" si="13">+C200*($M$229/$M$228)</f>
        <v>11061.097892590074</v>
      </c>
      <c r="I200" s="90">
        <v>0</v>
      </c>
      <c r="J200" s="87">
        <f t="shared" ref="J200:J207" si="14">+D200*($M$229/$M$228)</f>
        <v>30.285520054384772</v>
      </c>
      <c r="K200" s="171">
        <v>0</v>
      </c>
      <c r="L200" s="171"/>
      <c r="M200" s="87">
        <f>+K200*J200+I200*H200</f>
        <v>0</v>
      </c>
    </row>
    <row r="201" spans="3:13" x14ac:dyDescent="0.25">
      <c r="C201" s="26">
        <v>8520</v>
      </c>
      <c r="D201">
        <v>23</v>
      </c>
      <c r="E201" s="46" t="s">
        <v>331</v>
      </c>
      <c r="F201" s="6" t="s">
        <v>296</v>
      </c>
      <c r="G201" s="89">
        <v>30</v>
      </c>
      <c r="H201" s="87">
        <f t="shared" si="13"/>
        <v>11728.755948334467</v>
      </c>
      <c r="I201" s="90">
        <v>0</v>
      </c>
      <c r="J201" s="87">
        <f t="shared" si="14"/>
        <v>31.662134602311355</v>
      </c>
      <c r="K201" s="171">
        <v>0</v>
      </c>
      <c r="L201" s="171"/>
      <c r="M201" s="87">
        <f t="shared" ref="M201:M207" si="15">+K201*J201+I201*H201</f>
        <v>0</v>
      </c>
    </row>
    <row r="202" spans="3:13" x14ac:dyDescent="0.25">
      <c r="C202" s="26">
        <v>10495</v>
      </c>
      <c r="D202">
        <v>29</v>
      </c>
      <c r="E202" s="46" t="s">
        <v>332</v>
      </c>
      <c r="F202" s="6" t="s">
        <v>297</v>
      </c>
      <c r="G202" s="89">
        <v>40</v>
      </c>
      <c r="H202" s="87">
        <f t="shared" si="13"/>
        <v>14447.569680489463</v>
      </c>
      <c r="I202" s="90">
        <v>0</v>
      </c>
      <c r="J202" s="87">
        <f t="shared" si="14"/>
        <v>39.921821889870834</v>
      </c>
      <c r="K202" s="171">
        <v>0</v>
      </c>
      <c r="L202" s="171"/>
      <c r="M202" s="87">
        <f t="shared" si="15"/>
        <v>0</v>
      </c>
    </row>
    <row r="203" spans="3:13" x14ac:dyDescent="0.25">
      <c r="C203" s="26">
        <v>13918</v>
      </c>
      <c r="D203">
        <v>38</v>
      </c>
      <c r="E203" s="46" t="s">
        <v>333</v>
      </c>
      <c r="F203" s="6" t="s">
        <v>292</v>
      </c>
      <c r="G203" s="89">
        <v>50</v>
      </c>
      <c r="H203" s="87">
        <f t="shared" si="13"/>
        <v>19159.721278042147</v>
      </c>
      <c r="I203" s="90">
        <v>0</v>
      </c>
      <c r="J203" s="87">
        <f t="shared" si="14"/>
        <v>52.311352821210065</v>
      </c>
      <c r="K203" s="171">
        <v>0</v>
      </c>
      <c r="L203" s="171"/>
      <c r="M203" s="87">
        <f t="shared" si="15"/>
        <v>0</v>
      </c>
    </row>
    <row r="204" spans="3:13" x14ac:dyDescent="0.25">
      <c r="C204" s="26">
        <v>21111</v>
      </c>
      <c r="D204">
        <v>58</v>
      </c>
      <c r="E204" s="46" t="s">
        <v>334</v>
      </c>
      <c r="F204" s="6" t="s">
        <v>298</v>
      </c>
      <c r="G204" s="89">
        <v>65</v>
      </c>
      <c r="H204" s="87">
        <f t="shared" si="13"/>
        <v>29061.709721278043</v>
      </c>
      <c r="I204" s="90">
        <v>0</v>
      </c>
      <c r="J204" s="87">
        <f t="shared" si="14"/>
        <v>79.843643779741669</v>
      </c>
      <c r="K204" s="171">
        <v>0</v>
      </c>
      <c r="L204" s="171"/>
      <c r="M204" s="87">
        <f t="shared" si="15"/>
        <v>0</v>
      </c>
    </row>
    <row r="205" spans="3:13" x14ac:dyDescent="0.25">
      <c r="C205" s="26">
        <v>30412</v>
      </c>
      <c r="D205">
        <v>83</v>
      </c>
      <c r="E205" s="46" t="s">
        <v>335</v>
      </c>
      <c r="F205" s="6" t="s">
        <v>293</v>
      </c>
      <c r="G205" s="89">
        <v>80</v>
      </c>
      <c r="H205" s="87">
        <f t="shared" si="13"/>
        <v>41865.60163154317</v>
      </c>
      <c r="I205" s="90">
        <v>0</v>
      </c>
      <c r="J205" s="87">
        <f t="shared" si="14"/>
        <v>114.25900747790618</v>
      </c>
      <c r="K205" s="171">
        <v>0</v>
      </c>
      <c r="L205" s="171"/>
      <c r="M205" s="87">
        <f t="shared" si="15"/>
        <v>0</v>
      </c>
    </row>
    <row r="206" spans="3:13" x14ac:dyDescent="0.25">
      <c r="C206" s="26">
        <v>38861</v>
      </c>
      <c r="D206">
        <v>106</v>
      </c>
      <c r="E206" s="46" t="s">
        <v>336</v>
      </c>
      <c r="F206" s="6" t="s">
        <v>294</v>
      </c>
      <c r="G206" s="89">
        <v>100</v>
      </c>
      <c r="H206" s="87">
        <f t="shared" si="13"/>
        <v>53496.617946974846</v>
      </c>
      <c r="I206" s="90">
        <v>0</v>
      </c>
      <c r="J206" s="87">
        <f t="shared" si="14"/>
        <v>145.92114208021755</v>
      </c>
      <c r="K206" s="171">
        <v>0</v>
      </c>
      <c r="L206" s="171"/>
      <c r="M206" s="87">
        <f t="shared" si="15"/>
        <v>0</v>
      </c>
    </row>
    <row r="207" spans="3:13" x14ac:dyDescent="0.25">
      <c r="C207" s="26">
        <v>44807</v>
      </c>
      <c r="D207">
        <v>123</v>
      </c>
      <c r="E207" s="46" t="s">
        <v>337</v>
      </c>
      <c r="F207" s="6" t="s">
        <v>295</v>
      </c>
      <c r="G207" s="89">
        <v>150</v>
      </c>
      <c r="H207" s="87">
        <f t="shared" si="13"/>
        <v>61681.968048946292</v>
      </c>
      <c r="I207" s="90">
        <v>0</v>
      </c>
      <c r="J207" s="87">
        <f t="shared" si="14"/>
        <v>169.32358939496942</v>
      </c>
      <c r="K207" s="171">
        <v>0</v>
      </c>
      <c r="L207" s="171"/>
      <c r="M207" s="87">
        <f t="shared" si="15"/>
        <v>0</v>
      </c>
    </row>
    <row r="208" spans="3:13" x14ac:dyDescent="0.25">
      <c r="C208" s="26"/>
      <c r="E208" s="165"/>
      <c r="F208" s="165"/>
      <c r="G208" s="165"/>
      <c r="H208" s="165"/>
      <c r="I208" s="165"/>
      <c r="J208" s="165"/>
      <c r="K208" s="165"/>
      <c r="L208" s="165"/>
      <c r="M208" s="165"/>
    </row>
    <row r="209" spans="3:13" x14ac:dyDescent="0.25">
      <c r="C209" s="26"/>
      <c r="E209" s="166" t="s">
        <v>338</v>
      </c>
      <c r="F209" s="166"/>
      <c r="G209" s="166"/>
      <c r="H209" s="166"/>
      <c r="I209" s="166"/>
      <c r="J209" s="166"/>
      <c r="K209" s="166"/>
      <c r="L209" s="166"/>
      <c r="M209" s="63">
        <f>+M207+M206+M205</f>
        <v>0</v>
      </c>
    </row>
    <row r="210" spans="3:13" x14ac:dyDescent="0.25">
      <c r="C210" s="26"/>
      <c r="E210" s="157"/>
      <c r="F210" s="157"/>
      <c r="G210" s="157"/>
      <c r="H210" s="157"/>
      <c r="I210" s="157"/>
      <c r="J210" s="157"/>
      <c r="K210" s="157"/>
      <c r="L210" s="157"/>
      <c r="M210" s="157"/>
    </row>
    <row r="211" spans="3:13" x14ac:dyDescent="0.25">
      <c r="C211" s="26"/>
      <c r="E211" s="16" t="s">
        <v>339</v>
      </c>
      <c r="F211" s="136" t="s">
        <v>301</v>
      </c>
      <c r="G211" s="136"/>
      <c r="H211" s="136"/>
      <c r="I211" s="136"/>
      <c r="J211" s="136"/>
      <c r="K211" s="136"/>
      <c r="L211" s="136"/>
      <c r="M211" s="136"/>
    </row>
    <row r="212" spans="3:13" x14ac:dyDescent="0.25">
      <c r="C212" s="26">
        <v>10735</v>
      </c>
      <c r="E212" s="46" t="s">
        <v>340</v>
      </c>
      <c r="F212" s="172" t="s">
        <v>302</v>
      </c>
      <c r="G212" s="172"/>
      <c r="H212" s="172"/>
      <c r="I212" s="172"/>
      <c r="J212" s="172"/>
      <c r="K212" s="172"/>
      <c r="L212" s="81">
        <v>0</v>
      </c>
      <c r="M212" s="87">
        <f>+L212*(C212*($M$229/$M$228))</f>
        <v>0</v>
      </c>
    </row>
    <row r="213" spans="3:13" x14ac:dyDescent="0.25">
      <c r="C213" s="26"/>
      <c r="E213" s="46" t="s">
        <v>341</v>
      </c>
      <c r="F213" s="172" t="s">
        <v>303</v>
      </c>
      <c r="G213" s="172"/>
      <c r="H213" s="172"/>
      <c r="I213" s="172"/>
      <c r="J213" s="172"/>
      <c r="K213" s="74"/>
      <c r="L213" s="74"/>
      <c r="M213" s="74"/>
    </row>
    <row r="214" spans="3:13" x14ac:dyDescent="0.25">
      <c r="C214" s="26">
        <v>3428</v>
      </c>
      <c r="E214" s="46"/>
      <c r="F214" s="74"/>
      <c r="G214" s="92" t="s">
        <v>304</v>
      </c>
      <c r="H214" s="74"/>
      <c r="I214" s="93">
        <f>C214*($M$229/$M$228)</f>
        <v>4719.034670292318</v>
      </c>
      <c r="J214" s="74"/>
      <c r="K214" s="74"/>
      <c r="L214" s="81">
        <v>0</v>
      </c>
      <c r="M214" s="87">
        <f>+L214*I214</f>
        <v>0</v>
      </c>
    </row>
    <row r="215" spans="3:13" x14ac:dyDescent="0.25">
      <c r="C215" s="26">
        <v>6916</v>
      </c>
      <c r="E215" s="46"/>
      <c r="F215" s="74"/>
      <c r="G215" s="92" t="s">
        <v>305</v>
      </c>
      <c r="H215" s="74"/>
      <c r="I215" s="93">
        <f>C215*($M$229/$M$228)</f>
        <v>9520.666213460232</v>
      </c>
      <c r="J215" s="74"/>
      <c r="K215" s="74"/>
      <c r="L215" s="81">
        <v>0</v>
      </c>
      <c r="M215" s="87">
        <f>+L215*I215</f>
        <v>0</v>
      </c>
    </row>
    <row r="216" spans="3:13" x14ac:dyDescent="0.25">
      <c r="C216" s="26"/>
      <c r="E216" s="165"/>
      <c r="F216" s="165"/>
      <c r="G216" s="165"/>
      <c r="H216" s="165"/>
      <c r="I216" s="165"/>
      <c r="J216" s="165"/>
      <c r="K216" s="165"/>
      <c r="L216" s="165"/>
      <c r="M216" s="165"/>
    </row>
    <row r="217" spans="3:13" x14ac:dyDescent="0.25">
      <c r="C217" s="26"/>
      <c r="E217" s="166" t="s">
        <v>342</v>
      </c>
      <c r="F217" s="166"/>
      <c r="G217" s="166"/>
      <c r="H217" s="166"/>
      <c r="I217" s="166"/>
      <c r="J217" s="166"/>
      <c r="K217" s="166"/>
      <c r="L217" s="166"/>
      <c r="M217" s="63">
        <f>+M215+M214+M212</f>
        <v>0</v>
      </c>
    </row>
    <row r="218" spans="3:13" x14ac:dyDescent="0.25">
      <c r="C218" s="26"/>
      <c r="E218" s="157"/>
      <c r="F218" s="157"/>
      <c r="G218" s="157"/>
      <c r="H218" s="157"/>
      <c r="I218" s="157"/>
      <c r="J218" s="157"/>
      <c r="K218" s="157"/>
      <c r="L218" s="157"/>
      <c r="M218" s="157"/>
    </row>
    <row r="219" spans="3:13" x14ac:dyDescent="0.25">
      <c r="C219" s="26"/>
      <c r="E219" s="16" t="s">
        <v>343</v>
      </c>
      <c r="F219" s="136" t="s">
        <v>306</v>
      </c>
      <c r="G219" s="136"/>
      <c r="H219" s="136"/>
      <c r="I219" s="136"/>
      <c r="J219" s="136"/>
      <c r="K219" s="136"/>
      <c r="L219" s="136"/>
      <c r="M219" s="136"/>
    </row>
    <row r="220" spans="3:13" x14ac:dyDescent="0.25">
      <c r="C220" s="94">
        <v>12.1</v>
      </c>
      <c r="E220" s="46" t="s">
        <v>344</v>
      </c>
      <c r="F220" s="173" t="s">
        <v>307</v>
      </c>
      <c r="G220" s="173"/>
      <c r="H220" s="173"/>
      <c r="I220" s="173"/>
      <c r="J220" s="95">
        <f>C220*($M$229/$M$228)</f>
        <v>16.657036029911623</v>
      </c>
      <c r="K220" s="74"/>
      <c r="L220" s="96">
        <v>0</v>
      </c>
      <c r="M220" s="87">
        <f>+L220*J220</f>
        <v>0</v>
      </c>
    </row>
    <row r="221" spans="3:13" x14ac:dyDescent="0.25">
      <c r="C221" s="26"/>
      <c r="E221" s="165"/>
      <c r="F221" s="165"/>
      <c r="G221" s="165"/>
      <c r="H221" s="165"/>
      <c r="I221" s="165"/>
      <c r="J221" s="165"/>
      <c r="K221" s="165"/>
      <c r="L221" s="165"/>
      <c r="M221" s="165"/>
    </row>
    <row r="222" spans="3:13" x14ac:dyDescent="0.25">
      <c r="C222" s="26"/>
      <c r="E222" s="166" t="s">
        <v>345</v>
      </c>
      <c r="F222" s="166"/>
      <c r="G222" s="166"/>
      <c r="H222" s="166"/>
      <c r="I222" s="166"/>
      <c r="J222" s="166"/>
      <c r="K222" s="166"/>
      <c r="L222" s="166"/>
      <c r="M222" s="63">
        <f>+M220</f>
        <v>0</v>
      </c>
    </row>
    <row r="223" spans="3:13" x14ac:dyDescent="0.25">
      <c r="C223" s="26"/>
      <c r="E223" s="111"/>
      <c r="F223" s="111"/>
      <c r="G223" s="111"/>
      <c r="H223" s="111"/>
      <c r="I223" s="111"/>
      <c r="J223" s="111"/>
      <c r="K223" s="111"/>
      <c r="L223" s="111"/>
      <c r="M223" s="111"/>
    </row>
    <row r="224" spans="3:13" ht="15.75" thickBot="1" x14ac:dyDescent="0.3">
      <c r="E224" s="8"/>
      <c r="F224" s="8"/>
      <c r="G224" s="8"/>
      <c r="H224" s="8"/>
      <c r="I224" s="8"/>
      <c r="J224" s="2"/>
      <c r="K224" s="168" t="s">
        <v>106</v>
      </c>
      <c r="L224" s="168"/>
      <c r="M224" s="60">
        <f>+M222+M217+M209+M196+M191+M176+M171+M150+M141+M68+M61+M12+M11+M126+M99+M92+M78+M162</f>
        <v>0</v>
      </c>
    </row>
    <row r="225" spans="5:13" ht="15.75" thickTop="1" x14ac:dyDescent="0.25">
      <c r="E225" s="8"/>
      <c r="F225" s="8"/>
      <c r="G225" s="8"/>
      <c r="H225" s="8"/>
      <c r="I225" s="8"/>
      <c r="J225" s="8"/>
      <c r="K225" s="59"/>
      <c r="L225" s="59"/>
      <c r="M225" s="59"/>
    </row>
    <row r="226" spans="5:13" x14ac:dyDescent="0.25">
      <c r="E226" s="8"/>
      <c r="F226" s="8"/>
      <c r="G226" s="8"/>
      <c r="H226" s="8"/>
      <c r="I226" s="8"/>
      <c r="J226" s="8"/>
      <c r="K226" s="59"/>
      <c r="L226" s="59"/>
      <c r="M226" s="59"/>
    </row>
    <row r="227" spans="5:13" x14ac:dyDescent="0.25">
      <c r="E227" s="162" t="s">
        <v>308</v>
      </c>
      <c r="F227" s="163"/>
      <c r="G227" s="163"/>
      <c r="H227" s="163"/>
      <c r="I227" s="164"/>
      <c r="J227" s="162" t="s">
        <v>379</v>
      </c>
      <c r="K227" s="163"/>
      <c r="L227" s="163"/>
      <c r="M227" s="164"/>
    </row>
    <row r="228" spans="5:13" ht="15" customHeight="1" x14ac:dyDescent="0.25">
      <c r="E228" s="161" t="s">
        <v>309</v>
      </c>
      <c r="F228" s="156"/>
      <c r="G228" s="156"/>
      <c r="H228" s="156"/>
      <c r="I228" s="100">
        <v>292.3</v>
      </c>
      <c r="J228" s="161" t="s">
        <v>280</v>
      </c>
      <c r="K228" s="156"/>
      <c r="L228" s="156"/>
      <c r="M228" s="102">
        <v>147.1</v>
      </c>
    </row>
    <row r="229" spans="5:13" ht="15" customHeight="1" x14ac:dyDescent="0.25">
      <c r="E229" s="161" t="s">
        <v>356</v>
      </c>
      <c r="F229" s="156"/>
      <c r="G229" s="156"/>
      <c r="H229" s="156"/>
      <c r="I229" s="70">
        <v>416.5</v>
      </c>
      <c r="J229" s="161" t="s">
        <v>281</v>
      </c>
      <c r="K229" s="156"/>
      <c r="L229" s="156"/>
      <c r="M229" s="102">
        <f>+Vísitölur_frá_Hagstofu[Byggingarvísitala jan]</f>
        <v>202.5</v>
      </c>
    </row>
    <row r="230" spans="5:13" ht="15" customHeight="1" x14ac:dyDescent="0.25">
      <c r="E230" s="161" t="s">
        <v>310</v>
      </c>
      <c r="F230" s="156"/>
      <c r="G230" s="156"/>
      <c r="H230" s="156"/>
      <c r="I230" s="100">
        <v>712.1</v>
      </c>
      <c r="J230" s="103"/>
      <c r="K230" s="8"/>
      <c r="L230" s="8"/>
      <c r="M230" s="100"/>
    </row>
    <row r="231" spans="5:13" ht="15" customHeight="1" x14ac:dyDescent="0.25">
      <c r="E231" s="161" t="s">
        <v>311</v>
      </c>
      <c r="F231" s="156"/>
      <c r="G231" s="156"/>
      <c r="H231" s="156"/>
      <c r="I231" s="102">
        <f>+Vísitölur_frá_Hagstofu[Vísitala]</f>
        <v>1030.5999999999999</v>
      </c>
      <c r="J231" s="103"/>
      <c r="K231" s="8"/>
      <c r="L231" s="8"/>
      <c r="M231" s="100"/>
    </row>
    <row r="232" spans="5:13" ht="15" customHeight="1" x14ac:dyDescent="0.25">
      <c r="E232" s="161" t="s">
        <v>312</v>
      </c>
      <c r="F232" s="156"/>
      <c r="G232" s="156"/>
      <c r="H232" s="156"/>
      <c r="I232" s="102" t="e">
        <f>+Vísitölur_frá_Hagstofu[Rúmmetraverð]</f>
        <v>#DIV/0!</v>
      </c>
      <c r="J232" s="103"/>
      <c r="K232" s="8"/>
      <c r="L232" s="8"/>
      <c r="M232" s="100"/>
    </row>
    <row r="233" spans="5:13" ht="15" customHeight="1" x14ac:dyDescent="0.25">
      <c r="E233" s="161" t="s">
        <v>254</v>
      </c>
      <c r="F233" s="156"/>
      <c r="G233" s="156"/>
      <c r="H233" s="156"/>
      <c r="I233" s="108">
        <v>117895</v>
      </c>
      <c r="J233" s="103"/>
      <c r="K233" s="8"/>
      <c r="L233" s="8"/>
      <c r="M233" s="100"/>
    </row>
    <row r="234" spans="5:13" ht="15" customHeight="1" x14ac:dyDescent="0.25">
      <c r="E234" s="159" t="s">
        <v>313</v>
      </c>
      <c r="F234" s="160"/>
      <c r="G234" s="160"/>
      <c r="H234" s="160"/>
      <c r="I234" s="130">
        <f>+Vísitölur_frá_Hagstofu[Fermetraverð]</f>
        <v>321516</v>
      </c>
      <c r="J234" s="104"/>
      <c r="K234" s="105"/>
      <c r="L234" s="105"/>
      <c r="M234" s="101"/>
    </row>
    <row r="235" spans="5:13" x14ac:dyDescent="0.25">
      <c r="E235" s="8"/>
      <c r="F235" s="8"/>
      <c r="G235" s="8"/>
      <c r="H235" s="8"/>
      <c r="I235" s="8"/>
      <c r="J235" s="8"/>
      <c r="K235" s="59"/>
      <c r="L235" s="59"/>
      <c r="M235" s="59"/>
    </row>
    <row r="236" spans="5:13" x14ac:dyDescent="0.25">
      <c r="E236" s="8" t="s">
        <v>223</v>
      </c>
      <c r="F236" s="8"/>
      <c r="G236" s="8"/>
      <c r="H236" s="8"/>
      <c r="I236" s="8"/>
      <c r="J236" s="8"/>
      <c r="K236" s="8"/>
      <c r="L236" s="8"/>
      <c r="M236" s="8"/>
    </row>
    <row r="237" spans="5:13" x14ac:dyDescent="0.25">
      <c r="E237" s="8" t="s">
        <v>263</v>
      </c>
      <c r="F237" s="8"/>
      <c r="G237" s="8"/>
      <c r="H237" s="8"/>
      <c r="I237" s="8"/>
      <c r="J237" s="8"/>
      <c r="K237" s="8"/>
      <c r="L237" s="8"/>
      <c r="M237" s="8"/>
    </row>
    <row r="238" spans="5:13" x14ac:dyDescent="0.25">
      <c r="E238" s="8" t="s">
        <v>107</v>
      </c>
      <c r="F238" s="8"/>
      <c r="G238" s="8"/>
      <c r="H238" s="8"/>
      <c r="I238" s="8"/>
      <c r="J238" s="8"/>
      <c r="K238" s="8"/>
      <c r="L238" s="8"/>
      <c r="M238" s="8"/>
    </row>
  </sheetData>
  <dataConsolidate link="1"/>
  <mergeCells count="230">
    <mergeCell ref="E197:M197"/>
    <mergeCell ref="F198:M198"/>
    <mergeCell ref="K199:L199"/>
    <mergeCell ref="K201:L201"/>
    <mergeCell ref="E222:L222"/>
    <mergeCell ref="K200:L200"/>
    <mergeCell ref="F211:M211"/>
    <mergeCell ref="F212:K212"/>
    <mergeCell ref="F213:J213"/>
    <mergeCell ref="E216:M216"/>
    <mergeCell ref="E217:L217"/>
    <mergeCell ref="E218:M218"/>
    <mergeCell ref="F219:M219"/>
    <mergeCell ref="F220:I220"/>
    <mergeCell ref="E221:M221"/>
    <mergeCell ref="K202:L202"/>
    <mergeCell ref="K203:L203"/>
    <mergeCell ref="K204:L204"/>
    <mergeCell ref="K205:L205"/>
    <mergeCell ref="K206:L206"/>
    <mergeCell ref="K207:L207"/>
    <mergeCell ref="E208:M208"/>
    <mergeCell ref="E209:L209"/>
    <mergeCell ref="E210:M210"/>
    <mergeCell ref="E151:M151"/>
    <mergeCell ref="F133:H133"/>
    <mergeCell ref="F134:H134"/>
    <mergeCell ref="F135:H135"/>
    <mergeCell ref="F137:H137"/>
    <mergeCell ref="F138:H138"/>
    <mergeCell ref="F139:H139"/>
    <mergeCell ref="E141:L141"/>
    <mergeCell ref="F143:M143"/>
    <mergeCell ref="F144:H144"/>
    <mergeCell ref="F145:H145"/>
    <mergeCell ref="F146:H146"/>
    <mergeCell ref="F147:H147"/>
    <mergeCell ref="F148:H148"/>
    <mergeCell ref="E150:L150"/>
    <mergeCell ref="E176:L176"/>
    <mergeCell ref="F178:M178"/>
    <mergeCell ref="F179:H179"/>
    <mergeCell ref="F180:H180"/>
    <mergeCell ref="E175:M175"/>
    <mergeCell ref="E177:M177"/>
    <mergeCell ref="E231:H231"/>
    <mergeCell ref="E232:H232"/>
    <mergeCell ref="E233:H233"/>
    <mergeCell ref="K224:L224"/>
    <mergeCell ref="F181:H181"/>
    <mergeCell ref="F182:H182"/>
    <mergeCell ref="F183:H183"/>
    <mergeCell ref="F184:H184"/>
    <mergeCell ref="F185:H185"/>
    <mergeCell ref="F186:H186"/>
    <mergeCell ref="F187:H187"/>
    <mergeCell ref="F189:J189"/>
    <mergeCell ref="E190:M190"/>
    <mergeCell ref="E191:L191"/>
    <mergeCell ref="E192:M192"/>
    <mergeCell ref="F193:M193"/>
    <mergeCell ref="E195:M195"/>
    <mergeCell ref="E196:L196"/>
    <mergeCell ref="E234:H234"/>
    <mergeCell ref="E229:H229"/>
    <mergeCell ref="J7:M7"/>
    <mergeCell ref="E77:M77"/>
    <mergeCell ref="E78:L78"/>
    <mergeCell ref="E79:M79"/>
    <mergeCell ref="E92:L92"/>
    <mergeCell ref="E93:M93"/>
    <mergeCell ref="E98:M98"/>
    <mergeCell ref="E99:L99"/>
    <mergeCell ref="E100:M100"/>
    <mergeCell ref="E125:M125"/>
    <mergeCell ref="E126:L126"/>
    <mergeCell ref="E127:M127"/>
    <mergeCell ref="E227:I227"/>
    <mergeCell ref="J227:M227"/>
    <mergeCell ref="E228:H228"/>
    <mergeCell ref="J228:L228"/>
    <mergeCell ref="E230:H230"/>
    <mergeCell ref="J229:L229"/>
    <mergeCell ref="F123:I123"/>
    <mergeCell ref="E172:M172"/>
    <mergeCell ref="E170:M170"/>
    <mergeCell ref="E171:L171"/>
    <mergeCell ref="F166:G166"/>
    <mergeCell ref="F169:G169"/>
    <mergeCell ref="E167:M167"/>
    <mergeCell ref="F165:G165"/>
    <mergeCell ref="F168:G168"/>
    <mergeCell ref="F174:G174"/>
    <mergeCell ref="F110:I110"/>
    <mergeCell ref="F131:M131"/>
    <mergeCell ref="F117:I117"/>
    <mergeCell ref="F118:I118"/>
    <mergeCell ref="F119:I119"/>
    <mergeCell ref="F120:I120"/>
    <mergeCell ref="F121:I121"/>
    <mergeCell ref="F111:I111"/>
    <mergeCell ref="F124:I124"/>
    <mergeCell ref="F173:M173"/>
    <mergeCell ref="F164:M164"/>
    <mergeCell ref="E142:M142"/>
    <mergeCell ref="E128:M128"/>
    <mergeCell ref="E130:M130"/>
    <mergeCell ref="E129:L129"/>
    <mergeCell ref="F112:I112"/>
    <mergeCell ref="F113:I113"/>
    <mergeCell ref="F114:I114"/>
    <mergeCell ref="F69:I69"/>
    <mergeCell ref="F72:I72"/>
    <mergeCell ref="F73:I73"/>
    <mergeCell ref="F74:I74"/>
    <mergeCell ref="F89:I89"/>
    <mergeCell ref="F90:I90"/>
    <mergeCell ref="F71:M71"/>
    <mergeCell ref="F80:M80"/>
    <mergeCell ref="F83:I83"/>
    <mergeCell ref="F84:I84"/>
    <mergeCell ref="F85:I85"/>
    <mergeCell ref="F86:I86"/>
    <mergeCell ref="F87:I87"/>
    <mergeCell ref="F88:I88"/>
    <mergeCell ref="J73:K73"/>
    <mergeCell ref="J82:K82"/>
    <mergeCell ref="J85:K85"/>
    <mergeCell ref="F75:I75"/>
    <mergeCell ref="F76:I76"/>
    <mergeCell ref="F81:I81"/>
    <mergeCell ref="F82:I82"/>
    <mergeCell ref="F70:M70"/>
    <mergeCell ref="F58:I58"/>
    <mergeCell ref="F59:I59"/>
    <mergeCell ref="F64:I64"/>
    <mergeCell ref="F65:I65"/>
    <mergeCell ref="E67:M67"/>
    <mergeCell ref="E68:L68"/>
    <mergeCell ref="F51:I51"/>
    <mergeCell ref="F52:I52"/>
    <mergeCell ref="F54:I54"/>
    <mergeCell ref="F55:I55"/>
    <mergeCell ref="F57:I57"/>
    <mergeCell ref="F53:M53"/>
    <mergeCell ref="F63:M63"/>
    <mergeCell ref="F56:I56"/>
    <mergeCell ref="F66:I66"/>
    <mergeCell ref="E62:M62"/>
    <mergeCell ref="E60:M60"/>
    <mergeCell ref="E61:L61"/>
    <mergeCell ref="F26:I26"/>
    <mergeCell ref="F15:I15"/>
    <mergeCell ref="F16:I16"/>
    <mergeCell ref="F14:M14"/>
    <mergeCell ref="F17:I17"/>
    <mergeCell ref="F18:I18"/>
    <mergeCell ref="F19:I19"/>
    <mergeCell ref="F20:I20"/>
    <mergeCell ref="F11:I11"/>
    <mergeCell ref="F12:I12"/>
    <mergeCell ref="J12:K12"/>
    <mergeCell ref="F28:M28"/>
    <mergeCell ref="E27:M27"/>
    <mergeCell ref="F34:I34"/>
    <mergeCell ref="F35:I35"/>
    <mergeCell ref="F36:I36"/>
    <mergeCell ref="F29:I29"/>
    <mergeCell ref="F30:I30"/>
    <mergeCell ref="F31:I31"/>
    <mergeCell ref="F32:I32"/>
    <mergeCell ref="E1:M1"/>
    <mergeCell ref="E2:M2"/>
    <mergeCell ref="K3:M3"/>
    <mergeCell ref="E7:I7"/>
    <mergeCell ref="F3:I3"/>
    <mergeCell ref="F4:I4"/>
    <mergeCell ref="F6:I6"/>
    <mergeCell ref="K5:M5"/>
    <mergeCell ref="K6:M6"/>
    <mergeCell ref="F5:I5"/>
    <mergeCell ref="E91:M91"/>
    <mergeCell ref="K4:M4"/>
    <mergeCell ref="E8:I8"/>
    <mergeCell ref="F21:I21"/>
    <mergeCell ref="F22:I22"/>
    <mergeCell ref="F23:I23"/>
    <mergeCell ref="F24:I24"/>
    <mergeCell ref="F25:I25"/>
    <mergeCell ref="F38:I38"/>
    <mergeCell ref="F37:M37"/>
    <mergeCell ref="F46:I46"/>
    <mergeCell ref="F47:I47"/>
    <mergeCell ref="F48:I48"/>
    <mergeCell ref="F49:I49"/>
    <mergeCell ref="F50:I50"/>
    <mergeCell ref="F39:I39"/>
    <mergeCell ref="F40:I40"/>
    <mergeCell ref="F41:I41"/>
    <mergeCell ref="F42:I42"/>
    <mergeCell ref="F43:I43"/>
    <mergeCell ref="F45:M45"/>
    <mergeCell ref="E44:M44"/>
    <mergeCell ref="F10:M10"/>
    <mergeCell ref="F33:I33"/>
    <mergeCell ref="F115:I115"/>
    <mergeCell ref="F116:I116"/>
    <mergeCell ref="F122:I122"/>
    <mergeCell ref="F95:I95"/>
    <mergeCell ref="F96:I96"/>
    <mergeCell ref="F94:M94"/>
    <mergeCell ref="F105:I105"/>
    <mergeCell ref="F106:I106"/>
    <mergeCell ref="F107:I107"/>
    <mergeCell ref="F108:I108"/>
    <mergeCell ref="F109:I109"/>
    <mergeCell ref="F97:I97"/>
    <mergeCell ref="F102:I102"/>
    <mergeCell ref="F103:I103"/>
    <mergeCell ref="F104:I104"/>
    <mergeCell ref="F101:M101"/>
    <mergeCell ref="F152:M152"/>
    <mergeCell ref="E162:L162"/>
    <mergeCell ref="E163:M163"/>
    <mergeCell ref="F154:G154"/>
    <mergeCell ref="F155:G155"/>
    <mergeCell ref="F156:G156"/>
    <mergeCell ref="F158:G158"/>
    <mergeCell ref="F159:G159"/>
    <mergeCell ref="F160:G160"/>
  </mergeCells>
  <printOptions horizontalCentered="1"/>
  <pageMargins left="0.70866141732283472" right="0.70866141732283472" top="0.74803149606299213" bottom="0.74803149606299213" header="0.31496062992125984" footer="0.31496062992125984"/>
  <pageSetup paperSize="9" scale="62" fitToHeight="0" orientation="portrait" errors="dash" r:id="rId1"/>
  <headerFooter>
    <oddHeader>&amp;L&amp;G&amp;R&amp;D/&amp;T</oddHeader>
    <oddFooter>&amp;L&amp;F
Gjaldskrá - &amp;A&amp;R&amp;P/&amp;N</oddFooter>
  </headerFooter>
  <legacy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6B78F-484D-462B-9452-FFB8D50C8791}">
  <sheetPr>
    <tabColor theme="5" tint="0.59999389629810485"/>
    <pageSetUpPr fitToPage="1"/>
  </sheetPr>
  <dimension ref="A1:P85"/>
  <sheetViews>
    <sheetView view="pageBreakPreview" topLeftCell="E1" zoomScaleNormal="100" zoomScaleSheetLayoutView="100" workbookViewId="0">
      <selection activeCell="E12" sqref="E12:M12"/>
    </sheetView>
  </sheetViews>
  <sheetFormatPr defaultColWidth="9.140625" defaultRowHeight="15" outlineLevelCol="1" x14ac:dyDescent="0.25"/>
  <cols>
    <col min="1" max="4" width="9.140625" hidden="1" customWidth="1" outlineLevel="1"/>
    <col min="5" max="5" width="7.7109375" customWidth="1" collapsed="1"/>
    <col min="6" max="6" width="9.85546875" customWidth="1"/>
    <col min="7" max="7" width="12.28515625" customWidth="1"/>
    <col min="8" max="8" width="15.42578125" customWidth="1"/>
    <col min="9" max="9" width="15.5703125" customWidth="1"/>
    <col min="10" max="10" width="22.28515625" customWidth="1"/>
    <col min="11" max="11" width="5.28515625" customWidth="1"/>
    <col min="12" max="12" width="17.5703125" customWidth="1"/>
    <col min="13" max="13" width="14.140625" customWidth="1"/>
    <col min="14" max="14" width="19" customWidth="1"/>
    <col min="15" max="15" width="13.85546875" customWidth="1"/>
    <col min="16" max="16" width="19.28515625" customWidth="1"/>
    <col min="17" max="17" width="15.7109375" customWidth="1"/>
  </cols>
  <sheetData>
    <row r="1" spans="1:16" ht="23.25" x14ac:dyDescent="0.25">
      <c r="E1" s="148" t="s">
        <v>1</v>
      </c>
      <c r="F1" s="148"/>
      <c r="G1" s="148"/>
      <c r="H1" s="148"/>
      <c r="I1" s="148"/>
      <c r="J1" s="148"/>
      <c r="K1" s="148"/>
      <c r="L1" s="148"/>
      <c r="M1" s="148"/>
      <c r="O1" s="1"/>
    </row>
    <row r="2" spans="1:16" ht="21" x14ac:dyDescent="0.25">
      <c r="E2" s="149" t="s">
        <v>0</v>
      </c>
      <c r="F2" s="149"/>
      <c r="G2" s="149"/>
      <c r="H2" s="149"/>
      <c r="I2" s="149"/>
      <c r="J2" s="149"/>
      <c r="K2" s="149"/>
      <c r="L2" s="149"/>
      <c r="M2" s="149"/>
      <c r="O2" s="1"/>
    </row>
    <row r="3" spans="1:16" x14ac:dyDescent="0.25">
      <c r="E3" s="49" t="s">
        <v>3</v>
      </c>
      <c r="F3" s="150"/>
      <c r="G3" s="150"/>
      <c r="H3" s="150"/>
      <c r="I3" s="150"/>
      <c r="J3" s="49" t="s">
        <v>4</v>
      </c>
      <c r="K3" s="150"/>
      <c r="L3" s="150"/>
      <c r="M3" s="150"/>
      <c r="O3" s="1"/>
    </row>
    <row r="4" spans="1:16" x14ac:dyDescent="0.25">
      <c r="E4" s="50" t="s">
        <v>133</v>
      </c>
      <c r="F4" s="144"/>
      <c r="G4" s="144"/>
      <c r="H4" s="144"/>
      <c r="I4" s="144"/>
      <c r="J4" s="50" t="s">
        <v>5</v>
      </c>
      <c r="K4" s="144"/>
      <c r="L4" s="144"/>
      <c r="M4" s="144"/>
      <c r="O4" s="1"/>
    </row>
    <row r="5" spans="1:16" x14ac:dyDescent="0.25">
      <c r="E5" s="50" t="s">
        <v>2</v>
      </c>
      <c r="F5" s="144"/>
      <c r="G5" s="144"/>
      <c r="H5" s="144"/>
      <c r="I5" s="144"/>
      <c r="J5" s="50" t="s">
        <v>6</v>
      </c>
      <c r="K5" s="144"/>
      <c r="L5" s="144"/>
      <c r="M5" s="144"/>
    </row>
    <row r="6" spans="1:16" x14ac:dyDescent="0.25">
      <c r="E6" s="51" t="s">
        <v>134</v>
      </c>
      <c r="F6" s="144"/>
      <c r="G6" s="144"/>
      <c r="H6" s="144"/>
      <c r="I6" s="144"/>
      <c r="J6" s="50" t="s">
        <v>7</v>
      </c>
      <c r="K6" s="144"/>
      <c r="L6" s="144"/>
      <c r="M6" s="144"/>
    </row>
    <row r="7" spans="1:16" x14ac:dyDescent="0.25">
      <c r="E7" s="151"/>
      <c r="F7" s="151"/>
      <c r="G7" s="151"/>
      <c r="H7" s="151"/>
      <c r="I7" s="151"/>
      <c r="J7" s="151"/>
      <c r="K7" s="151"/>
      <c r="L7" s="151"/>
      <c r="M7" s="151"/>
    </row>
    <row r="8" spans="1:16" ht="15.75" thickBot="1" x14ac:dyDescent="0.3">
      <c r="A8" s="25" t="s">
        <v>53</v>
      </c>
      <c r="E8" s="145"/>
      <c r="F8" s="145"/>
      <c r="G8" s="145"/>
      <c r="H8" s="145"/>
      <c r="I8" s="145"/>
      <c r="J8" s="52" t="s">
        <v>100</v>
      </c>
      <c r="K8" s="52" t="s">
        <v>105</v>
      </c>
      <c r="L8" s="52" t="s">
        <v>102</v>
      </c>
      <c r="M8" s="52" t="s">
        <v>101</v>
      </c>
    </row>
    <row r="9" spans="1:16" ht="2.25" customHeight="1" thickTop="1" x14ac:dyDescent="0.25">
      <c r="A9" s="25"/>
      <c r="E9" s="61"/>
      <c r="F9" s="61"/>
      <c r="G9" s="61"/>
      <c r="H9" s="61"/>
      <c r="I9" s="61"/>
      <c r="J9" s="57"/>
      <c r="K9" s="57"/>
      <c r="L9" s="57"/>
      <c r="M9" s="57"/>
    </row>
    <row r="10" spans="1:16" x14ac:dyDescent="0.25">
      <c r="C10" s="26"/>
      <c r="E10" s="16" t="s">
        <v>237</v>
      </c>
      <c r="F10" s="136" t="s">
        <v>264</v>
      </c>
      <c r="G10" s="136"/>
      <c r="H10" s="136"/>
      <c r="I10" s="136"/>
      <c r="J10" s="136"/>
      <c r="K10" s="136"/>
      <c r="L10" s="136"/>
      <c r="M10" s="136"/>
    </row>
    <row r="11" spans="1:16" x14ac:dyDescent="0.25">
      <c r="C11" s="26">
        <v>250000</v>
      </c>
      <c r="E11" s="46" t="s">
        <v>238</v>
      </c>
      <c r="F11" s="141" t="s">
        <v>265</v>
      </c>
      <c r="G11" s="141"/>
      <c r="H11" s="54"/>
      <c r="I11" s="48" t="s">
        <v>381</v>
      </c>
      <c r="J11" s="87">
        <f>$M$76/$M$75*C11</f>
        <v>344153.63698164513</v>
      </c>
      <c r="K11" s="9"/>
      <c r="L11" s="18">
        <v>0</v>
      </c>
      <c r="M11" s="4">
        <f>+J11</f>
        <v>344153.63698164513</v>
      </c>
      <c r="O11" s="79"/>
      <c r="P11" s="80"/>
    </row>
    <row r="12" spans="1:16" x14ac:dyDescent="0.25">
      <c r="C12" s="26"/>
      <c r="E12" s="165"/>
      <c r="F12" s="165"/>
      <c r="G12" s="165"/>
      <c r="H12" s="165"/>
      <c r="I12" s="165"/>
      <c r="J12" s="165"/>
      <c r="K12" s="165"/>
      <c r="L12" s="165"/>
      <c r="M12" s="165"/>
    </row>
    <row r="13" spans="1:16" x14ac:dyDescent="0.25">
      <c r="C13" s="26"/>
      <c r="E13" s="166" t="s">
        <v>314</v>
      </c>
      <c r="F13" s="166"/>
      <c r="G13" s="166"/>
      <c r="H13" s="166"/>
      <c r="I13" s="166"/>
      <c r="J13" s="166"/>
      <c r="K13" s="166"/>
      <c r="L13" s="166"/>
      <c r="M13" s="63">
        <f>+M11</f>
        <v>344153.63698164513</v>
      </c>
    </row>
    <row r="14" spans="1:16" x14ac:dyDescent="0.25">
      <c r="C14" s="26"/>
      <c r="E14" s="157"/>
      <c r="F14" s="157"/>
      <c r="G14" s="157"/>
      <c r="H14" s="157"/>
      <c r="I14" s="157"/>
      <c r="J14" s="157"/>
      <c r="K14" s="157"/>
      <c r="L14" s="157"/>
      <c r="M14" s="157"/>
    </row>
    <row r="15" spans="1:16" x14ac:dyDescent="0.25">
      <c r="C15" s="26"/>
      <c r="E15" s="74"/>
      <c r="F15" s="74"/>
      <c r="G15" s="74"/>
      <c r="H15" s="74"/>
      <c r="I15" s="74"/>
      <c r="J15" s="74"/>
      <c r="K15" s="74"/>
      <c r="L15" s="74"/>
      <c r="M15" s="74"/>
    </row>
    <row r="16" spans="1:16" x14ac:dyDescent="0.25">
      <c r="C16" s="26"/>
      <c r="E16" s="74"/>
      <c r="F16" s="74"/>
      <c r="G16" s="74"/>
      <c r="H16" s="74"/>
      <c r="I16" s="74"/>
      <c r="J16" s="74"/>
      <c r="K16" s="74"/>
      <c r="L16" s="74"/>
      <c r="M16" s="74"/>
    </row>
    <row r="17" spans="3:13" collapsed="1" x14ac:dyDescent="0.25">
      <c r="C17" s="26"/>
      <c r="E17" s="16" t="s">
        <v>315</v>
      </c>
      <c r="F17" s="136" t="s">
        <v>267</v>
      </c>
      <c r="G17" s="136"/>
      <c r="H17" s="136"/>
      <c r="I17" s="136"/>
      <c r="J17" s="136"/>
      <c r="K17" s="136"/>
      <c r="L17" s="136"/>
      <c r="M17" s="136"/>
    </row>
    <row r="18" spans="3:13" ht="45" x14ac:dyDescent="0.25">
      <c r="C18" s="26"/>
      <c r="F18" s="167" t="s">
        <v>269</v>
      </c>
      <c r="G18" s="167"/>
      <c r="H18" s="167"/>
      <c r="I18" s="91" t="s">
        <v>271</v>
      </c>
      <c r="J18" s="91" t="s">
        <v>374</v>
      </c>
      <c r="K18" s="62"/>
      <c r="L18" s="91" t="s">
        <v>375</v>
      </c>
      <c r="M18" s="62"/>
    </row>
    <row r="19" spans="3:13" ht="18.75" customHeight="1" x14ac:dyDescent="0.25">
      <c r="C19" s="26">
        <v>182973</v>
      </c>
      <c r="D19">
        <v>1830</v>
      </c>
      <c r="E19" s="46" t="s">
        <v>316</v>
      </c>
      <c r="F19" s="167" t="s">
        <v>272</v>
      </c>
      <c r="G19" s="167"/>
      <c r="H19" s="167"/>
      <c r="I19" s="87">
        <f t="shared" ref="I19:J26" si="0">$M$76/$M$75*C19</f>
        <v>251883.29367777021</v>
      </c>
      <c r="J19" s="87">
        <f t="shared" si="0"/>
        <v>2519.2046227056426</v>
      </c>
      <c r="K19" s="9"/>
      <c r="L19" s="18">
        <v>0</v>
      </c>
      <c r="M19" s="87">
        <f t="shared" ref="M19:M26" si="1">I19*L19</f>
        <v>0</v>
      </c>
    </row>
    <row r="20" spans="3:13" x14ac:dyDescent="0.25">
      <c r="C20" s="26">
        <v>236755</v>
      </c>
      <c r="D20">
        <v>2367</v>
      </c>
      <c r="E20" s="46" t="s">
        <v>317</v>
      </c>
      <c r="F20" s="167" t="s">
        <v>273</v>
      </c>
      <c r="G20" s="167"/>
      <c r="H20" s="167"/>
      <c r="I20" s="87">
        <f t="shared" si="0"/>
        <v>325920.37729435758</v>
      </c>
      <c r="J20" s="87">
        <f t="shared" si="0"/>
        <v>3258.446634942216</v>
      </c>
      <c r="K20" s="9"/>
      <c r="L20" s="18">
        <v>0</v>
      </c>
      <c r="M20" s="87">
        <f t="shared" si="1"/>
        <v>0</v>
      </c>
    </row>
    <row r="21" spans="3:13" x14ac:dyDescent="0.25">
      <c r="C21" s="26">
        <v>306489</v>
      </c>
      <c r="D21">
        <v>3065</v>
      </c>
      <c r="E21" s="46" t="s">
        <v>318</v>
      </c>
      <c r="F21" s="167" t="s">
        <v>274</v>
      </c>
      <c r="G21" s="167"/>
      <c r="H21" s="167"/>
      <c r="I21" s="87">
        <f t="shared" si="0"/>
        <v>421917.21617946977</v>
      </c>
      <c r="J21" s="87">
        <f t="shared" si="0"/>
        <v>4219.3235893949695</v>
      </c>
      <c r="K21" s="9"/>
      <c r="L21" s="18">
        <v>0</v>
      </c>
      <c r="M21" s="87">
        <f t="shared" si="1"/>
        <v>0</v>
      </c>
    </row>
    <row r="22" spans="3:13" x14ac:dyDescent="0.25">
      <c r="C22" s="26">
        <v>441989</v>
      </c>
      <c r="D22">
        <v>4420</v>
      </c>
      <c r="E22" s="46" t="s">
        <v>319</v>
      </c>
      <c r="F22" s="167" t="s">
        <v>275</v>
      </c>
      <c r="G22" s="167"/>
      <c r="H22" s="167"/>
      <c r="I22" s="87">
        <f t="shared" si="0"/>
        <v>608448.48742352147</v>
      </c>
      <c r="J22" s="87">
        <f t="shared" si="0"/>
        <v>6084.6363018354859</v>
      </c>
      <c r="K22" s="9"/>
      <c r="L22" s="18">
        <v>0</v>
      </c>
      <c r="M22" s="87">
        <f t="shared" si="1"/>
        <v>0</v>
      </c>
    </row>
    <row r="23" spans="3:13" x14ac:dyDescent="0.25">
      <c r="C23" s="26">
        <v>590556</v>
      </c>
      <c r="D23">
        <v>5906</v>
      </c>
      <c r="E23" s="46" t="s">
        <v>320</v>
      </c>
      <c r="F23" s="167" t="s">
        <v>276</v>
      </c>
      <c r="G23" s="167"/>
      <c r="H23" s="167"/>
      <c r="I23" s="87">
        <f t="shared" si="0"/>
        <v>812967.98096532968</v>
      </c>
      <c r="J23" s="87">
        <f t="shared" si="0"/>
        <v>8130.2855200543845</v>
      </c>
      <c r="K23" s="9"/>
      <c r="L23" s="18">
        <v>0</v>
      </c>
      <c r="M23" s="87">
        <f t="shared" si="1"/>
        <v>0</v>
      </c>
    </row>
    <row r="24" spans="3:13" x14ac:dyDescent="0.25">
      <c r="C24" s="26">
        <v>859478</v>
      </c>
      <c r="D24">
        <v>8595</v>
      </c>
      <c r="E24" s="46" t="s">
        <v>321</v>
      </c>
      <c r="F24" s="167" t="s">
        <v>277</v>
      </c>
      <c r="G24" s="167"/>
      <c r="H24" s="167"/>
      <c r="I24" s="87">
        <f t="shared" si="0"/>
        <v>1183169.9184228417</v>
      </c>
      <c r="J24" s="87">
        <f t="shared" si="0"/>
        <v>11832.00203942896</v>
      </c>
      <c r="K24" s="9"/>
      <c r="L24" s="18">
        <v>0</v>
      </c>
      <c r="M24" s="87">
        <f t="shared" si="1"/>
        <v>0</v>
      </c>
    </row>
    <row r="25" spans="3:13" x14ac:dyDescent="0.25">
      <c r="C25" s="26">
        <v>959513</v>
      </c>
      <c r="D25">
        <v>9595</v>
      </c>
      <c r="E25" s="46" t="s">
        <v>322</v>
      </c>
      <c r="F25" s="167" t="s">
        <v>278</v>
      </c>
      <c r="G25" s="167"/>
      <c r="H25" s="167"/>
      <c r="I25" s="87">
        <f t="shared" si="0"/>
        <v>1320879.554724677</v>
      </c>
      <c r="J25" s="87">
        <f t="shared" si="0"/>
        <v>13208.61658735554</v>
      </c>
      <c r="K25" s="9"/>
      <c r="L25" s="18">
        <v>0</v>
      </c>
      <c r="M25" s="87">
        <f t="shared" si="1"/>
        <v>0</v>
      </c>
    </row>
    <row r="26" spans="3:13" x14ac:dyDescent="0.25">
      <c r="C26" s="26">
        <v>1123811</v>
      </c>
      <c r="D26">
        <v>11238</v>
      </c>
      <c r="E26" s="46" t="s">
        <v>323</v>
      </c>
      <c r="F26" s="167" t="s">
        <v>279</v>
      </c>
      <c r="G26" s="167"/>
      <c r="H26" s="167"/>
      <c r="I26" s="87">
        <f t="shared" si="0"/>
        <v>1547054.5717199184</v>
      </c>
      <c r="J26" s="87">
        <f t="shared" si="0"/>
        <v>15470.394289598913</v>
      </c>
      <c r="K26" s="9"/>
      <c r="L26" s="18">
        <v>0</v>
      </c>
      <c r="M26" s="87">
        <f t="shared" si="1"/>
        <v>0</v>
      </c>
    </row>
    <row r="27" spans="3:13" x14ac:dyDescent="0.25">
      <c r="C27" s="26"/>
      <c r="E27" s="46"/>
      <c r="F27" s="76"/>
      <c r="G27" s="76"/>
      <c r="H27" s="82"/>
      <c r="I27" s="82"/>
      <c r="J27" s="82"/>
      <c r="K27" s="83"/>
      <c r="L27" s="84"/>
      <c r="M27" s="88"/>
    </row>
    <row r="28" spans="3:13" x14ac:dyDescent="0.25">
      <c r="C28" s="26">
        <v>27160</v>
      </c>
      <c r="E28" s="46" t="s">
        <v>324</v>
      </c>
      <c r="F28" s="169" t="s">
        <v>283</v>
      </c>
      <c r="G28" s="169"/>
      <c r="H28" s="169"/>
      <c r="I28" s="169"/>
      <c r="J28" s="169"/>
      <c r="K28" s="83"/>
      <c r="L28" s="85">
        <v>0</v>
      </c>
      <c r="M28" s="88">
        <f>+L28*(($M$76/$M$75)*C28)</f>
        <v>0</v>
      </c>
    </row>
    <row r="29" spans="3:13" x14ac:dyDescent="0.25">
      <c r="C29" s="26"/>
      <c r="E29" s="165"/>
      <c r="F29" s="165"/>
      <c r="G29" s="165"/>
      <c r="H29" s="165"/>
      <c r="I29" s="165"/>
      <c r="J29" s="165"/>
      <c r="K29" s="165"/>
      <c r="L29" s="165"/>
      <c r="M29" s="165"/>
    </row>
    <row r="30" spans="3:13" x14ac:dyDescent="0.25">
      <c r="C30" s="26"/>
      <c r="E30" s="166" t="s">
        <v>325</v>
      </c>
      <c r="F30" s="166"/>
      <c r="G30" s="166"/>
      <c r="H30" s="166"/>
      <c r="I30" s="166"/>
      <c r="J30" s="166"/>
      <c r="K30" s="166"/>
      <c r="L30" s="166"/>
      <c r="M30" s="63">
        <f>+M28+M26+M25+M24+M23+M22+M21+M20+M19</f>
        <v>0</v>
      </c>
    </row>
    <row r="31" spans="3:13" x14ac:dyDescent="0.25">
      <c r="C31" s="26"/>
      <c r="E31" s="157"/>
      <c r="F31" s="157"/>
      <c r="G31" s="157"/>
      <c r="H31" s="157"/>
      <c r="I31" s="157"/>
      <c r="J31" s="157"/>
      <c r="K31" s="157"/>
      <c r="L31" s="157"/>
      <c r="M31" s="157"/>
    </row>
    <row r="32" spans="3:13" x14ac:dyDescent="0.25">
      <c r="C32" s="26"/>
      <c r="E32" s="74"/>
      <c r="F32" s="74"/>
      <c r="G32" s="74"/>
      <c r="H32" s="74"/>
      <c r="I32" s="74"/>
      <c r="J32" s="74"/>
      <c r="K32" s="74"/>
      <c r="L32" s="74"/>
      <c r="M32" s="74"/>
    </row>
    <row r="33" spans="3:13" x14ac:dyDescent="0.25">
      <c r="C33" s="26"/>
      <c r="E33" s="74"/>
      <c r="F33" s="74"/>
      <c r="G33" s="74"/>
      <c r="H33" s="74"/>
      <c r="I33" s="74"/>
      <c r="J33" s="74"/>
      <c r="K33" s="74"/>
      <c r="L33" s="74"/>
      <c r="M33" s="74"/>
    </row>
    <row r="34" spans="3:13" collapsed="1" x14ac:dyDescent="0.25">
      <c r="C34" s="26"/>
      <c r="E34" s="16" t="s">
        <v>326</v>
      </c>
      <c r="F34" s="136" t="s">
        <v>284</v>
      </c>
      <c r="G34" s="136"/>
      <c r="H34" s="136"/>
      <c r="I34" s="136"/>
      <c r="J34" s="136"/>
      <c r="K34" s="136"/>
      <c r="L34" s="136"/>
      <c r="M34" s="136"/>
    </row>
    <row r="35" spans="3:13" x14ac:dyDescent="0.25">
      <c r="C35" s="26">
        <v>250000</v>
      </c>
      <c r="E35" s="46" t="s">
        <v>327</v>
      </c>
      <c r="F35" s="6" t="s">
        <v>285</v>
      </c>
      <c r="G35" s="6"/>
      <c r="H35" s="6"/>
      <c r="I35" s="6"/>
      <c r="J35" s="87">
        <f>$M$76/$M$75*C35</f>
        <v>344153.63698164513</v>
      </c>
      <c r="K35" s="6"/>
      <c r="L35" s="85">
        <v>0</v>
      </c>
      <c r="M35" s="86">
        <v>0</v>
      </c>
    </row>
    <row r="36" spans="3:13" x14ac:dyDescent="0.25">
      <c r="C36" s="26"/>
      <c r="E36" s="165"/>
      <c r="F36" s="165"/>
      <c r="G36" s="165"/>
      <c r="H36" s="165"/>
      <c r="I36" s="165"/>
      <c r="J36" s="165"/>
      <c r="K36" s="165"/>
      <c r="L36" s="165"/>
      <c r="M36" s="165"/>
    </row>
    <row r="37" spans="3:13" x14ac:dyDescent="0.25">
      <c r="C37" s="26"/>
      <c r="E37" s="166" t="s">
        <v>328</v>
      </c>
      <c r="F37" s="166"/>
      <c r="G37" s="166"/>
      <c r="H37" s="166"/>
      <c r="I37" s="166"/>
      <c r="J37" s="166"/>
      <c r="K37" s="166"/>
      <c r="L37" s="166"/>
      <c r="M37" s="63">
        <f>M35</f>
        <v>0</v>
      </c>
    </row>
    <row r="38" spans="3:13" x14ac:dyDescent="0.25">
      <c r="C38" s="26"/>
      <c r="E38" s="157"/>
      <c r="F38" s="157"/>
      <c r="G38" s="157"/>
      <c r="H38" s="157"/>
      <c r="I38" s="157"/>
      <c r="J38" s="157"/>
      <c r="K38" s="157"/>
      <c r="L38" s="157"/>
      <c r="M38" s="157"/>
    </row>
    <row r="39" spans="3:13" x14ac:dyDescent="0.25">
      <c r="C39" s="26"/>
      <c r="E39" s="74"/>
      <c r="F39" s="74"/>
      <c r="G39" s="74"/>
      <c r="H39" s="74"/>
      <c r="I39" s="74"/>
      <c r="J39" s="74"/>
      <c r="K39" s="74"/>
      <c r="L39" s="74"/>
      <c r="M39" s="74"/>
    </row>
    <row r="40" spans="3:13" x14ac:dyDescent="0.25">
      <c r="C40" s="26"/>
      <c r="E40" s="74"/>
      <c r="F40" s="74"/>
      <c r="G40" s="74"/>
      <c r="H40" s="74"/>
      <c r="I40" s="74"/>
      <c r="J40" s="74"/>
      <c r="K40" s="74"/>
      <c r="L40" s="74"/>
      <c r="M40" s="74"/>
    </row>
    <row r="41" spans="3:13" x14ac:dyDescent="0.25">
      <c r="C41" s="26"/>
      <c r="E41" s="16" t="s">
        <v>329</v>
      </c>
      <c r="F41" s="136" t="s">
        <v>286</v>
      </c>
      <c r="G41" s="136"/>
      <c r="H41" s="136"/>
      <c r="I41" s="136"/>
      <c r="J41" s="136"/>
      <c r="K41" s="136"/>
      <c r="L41" s="136"/>
      <c r="M41" s="136"/>
    </row>
    <row r="42" spans="3:13" ht="30" x14ac:dyDescent="0.25">
      <c r="C42" s="26"/>
      <c r="F42" s="97" t="s">
        <v>287</v>
      </c>
      <c r="G42" s="89" t="s">
        <v>288</v>
      </c>
      <c r="H42" s="91" t="s">
        <v>289</v>
      </c>
      <c r="I42" s="8" t="s">
        <v>299</v>
      </c>
      <c r="J42" s="8" t="s">
        <v>290</v>
      </c>
      <c r="K42" s="152" t="s">
        <v>300</v>
      </c>
      <c r="L42" s="152"/>
      <c r="M42" s="69"/>
    </row>
    <row r="43" spans="3:13" ht="24" customHeight="1" x14ac:dyDescent="0.25">
      <c r="C43" s="26">
        <v>8035</v>
      </c>
      <c r="D43">
        <v>22</v>
      </c>
      <c r="E43" s="46" t="s">
        <v>330</v>
      </c>
      <c r="F43" s="6" t="s">
        <v>291</v>
      </c>
      <c r="G43" s="89">
        <v>25</v>
      </c>
      <c r="H43" s="87">
        <f t="shared" ref="H43:H50" si="2">+C43*($M$76/$M$75)</f>
        <v>11061.097892590074</v>
      </c>
      <c r="I43" s="90">
        <v>0</v>
      </c>
      <c r="J43" s="87">
        <f t="shared" ref="J43:J50" si="3">+D43*($M$76/$M$75)</f>
        <v>30.285520054384772</v>
      </c>
      <c r="K43" s="171">
        <v>0</v>
      </c>
      <c r="L43" s="171"/>
      <c r="M43" s="87">
        <f>+K43*J43+I43*H43</f>
        <v>0</v>
      </c>
    </row>
    <row r="44" spans="3:13" x14ac:dyDescent="0.25">
      <c r="C44" s="26">
        <v>8520</v>
      </c>
      <c r="D44">
        <v>23</v>
      </c>
      <c r="E44" s="46" t="s">
        <v>331</v>
      </c>
      <c r="F44" s="6" t="s">
        <v>296</v>
      </c>
      <c r="G44" s="89">
        <v>30</v>
      </c>
      <c r="H44" s="87">
        <f t="shared" si="2"/>
        <v>11728.755948334467</v>
      </c>
      <c r="I44" s="90">
        <v>0</v>
      </c>
      <c r="J44" s="87">
        <f t="shared" si="3"/>
        <v>31.662134602311355</v>
      </c>
      <c r="K44" s="171">
        <v>0</v>
      </c>
      <c r="L44" s="171"/>
      <c r="M44" s="87">
        <f t="shared" ref="M44:M50" si="4">+K44*J44+I44*H44</f>
        <v>0</v>
      </c>
    </row>
    <row r="45" spans="3:13" x14ac:dyDescent="0.25">
      <c r="C45" s="26">
        <v>10495</v>
      </c>
      <c r="D45">
        <v>29</v>
      </c>
      <c r="E45" s="46" t="s">
        <v>332</v>
      </c>
      <c r="F45" s="6" t="s">
        <v>297</v>
      </c>
      <c r="G45" s="89">
        <v>40</v>
      </c>
      <c r="H45" s="87">
        <f t="shared" si="2"/>
        <v>14447.569680489463</v>
      </c>
      <c r="I45" s="90">
        <v>0</v>
      </c>
      <c r="J45" s="87">
        <f t="shared" si="3"/>
        <v>39.921821889870834</v>
      </c>
      <c r="K45" s="171">
        <v>0</v>
      </c>
      <c r="L45" s="171"/>
      <c r="M45" s="87">
        <f t="shared" si="4"/>
        <v>0</v>
      </c>
    </row>
    <row r="46" spans="3:13" x14ac:dyDescent="0.25">
      <c r="C46" s="26">
        <v>13918</v>
      </c>
      <c r="D46">
        <v>38</v>
      </c>
      <c r="E46" s="46" t="s">
        <v>333</v>
      </c>
      <c r="F46" s="6" t="s">
        <v>292</v>
      </c>
      <c r="G46" s="89">
        <v>50</v>
      </c>
      <c r="H46" s="87">
        <f t="shared" si="2"/>
        <v>19159.721278042147</v>
      </c>
      <c r="I46" s="90">
        <v>0</v>
      </c>
      <c r="J46" s="87">
        <f t="shared" si="3"/>
        <v>52.311352821210065</v>
      </c>
      <c r="K46" s="171">
        <v>0</v>
      </c>
      <c r="L46" s="171"/>
      <c r="M46" s="87">
        <f t="shared" si="4"/>
        <v>0</v>
      </c>
    </row>
    <row r="47" spans="3:13" x14ac:dyDescent="0.25">
      <c r="C47" s="26">
        <v>21111</v>
      </c>
      <c r="D47">
        <v>58</v>
      </c>
      <c r="E47" s="46" t="s">
        <v>334</v>
      </c>
      <c r="F47" s="6" t="s">
        <v>298</v>
      </c>
      <c r="G47" s="89">
        <v>65</v>
      </c>
      <c r="H47" s="87">
        <f t="shared" si="2"/>
        <v>29061.709721278043</v>
      </c>
      <c r="I47" s="90">
        <v>0</v>
      </c>
      <c r="J47" s="87">
        <f t="shared" si="3"/>
        <v>79.843643779741669</v>
      </c>
      <c r="K47" s="171">
        <v>0</v>
      </c>
      <c r="L47" s="171"/>
      <c r="M47" s="87">
        <f t="shared" si="4"/>
        <v>0</v>
      </c>
    </row>
    <row r="48" spans="3:13" x14ac:dyDescent="0.25">
      <c r="C48" s="26">
        <v>30412</v>
      </c>
      <c r="D48">
        <v>83</v>
      </c>
      <c r="E48" s="46" t="s">
        <v>335</v>
      </c>
      <c r="F48" s="6" t="s">
        <v>293</v>
      </c>
      <c r="G48" s="89">
        <v>80</v>
      </c>
      <c r="H48" s="87">
        <f t="shared" si="2"/>
        <v>41865.60163154317</v>
      </c>
      <c r="I48" s="90">
        <v>0</v>
      </c>
      <c r="J48" s="87">
        <f t="shared" si="3"/>
        <v>114.25900747790618</v>
      </c>
      <c r="K48" s="171">
        <v>0</v>
      </c>
      <c r="L48" s="171"/>
      <c r="M48" s="87">
        <f t="shared" si="4"/>
        <v>0</v>
      </c>
    </row>
    <row r="49" spans="3:13" x14ac:dyDescent="0.25">
      <c r="C49" s="26">
        <v>38861</v>
      </c>
      <c r="D49">
        <v>106</v>
      </c>
      <c r="E49" s="46" t="s">
        <v>336</v>
      </c>
      <c r="F49" s="6" t="s">
        <v>294</v>
      </c>
      <c r="G49" s="89">
        <v>100</v>
      </c>
      <c r="H49" s="87">
        <f t="shared" si="2"/>
        <v>53496.617946974846</v>
      </c>
      <c r="I49" s="90">
        <v>0</v>
      </c>
      <c r="J49" s="87">
        <f t="shared" si="3"/>
        <v>145.92114208021755</v>
      </c>
      <c r="K49" s="171">
        <v>0</v>
      </c>
      <c r="L49" s="171"/>
      <c r="M49" s="87">
        <f t="shared" si="4"/>
        <v>0</v>
      </c>
    </row>
    <row r="50" spans="3:13" x14ac:dyDescent="0.25">
      <c r="C50" s="26">
        <v>44807</v>
      </c>
      <c r="D50">
        <v>123</v>
      </c>
      <c r="E50" s="46" t="s">
        <v>337</v>
      </c>
      <c r="F50" s="6" t="s">
        <v>295</v>
      </c>
      <c r="G50" s="89">
        <v>150</v>
      </c>
      <c r="H50" s="87">
        <f t="shared" si="2"/>
        <v>61681.968048946292</v>
      </c>
      <c r="I50" s="90">
        <v>0</v>
      </c>
      <c r="J50" s="87">
        <f t="shared" si="3"/>
        <v>169.32358939496942</v>
      </c>
      <c r="K50" s="171">
        <v>0</v>
      </c>
      <c r="L50" s="171"/>
      <c r="M50" s="87">
        <f t="shared" si="4"/>
        <v>0</v>
      </c>
    </row>
    <row r="51" spans="3:13" x14ac:dyDescent="0.25">
      <c r="C51" s="26"/>
      <c r="E51" s="165"/>
      <c r="F51" s="165"/>
      <c r="G51" s="165"/>
      <c r="H51" s="165"/>
      <c r="I51" s="165"/>
      <c r="J51" s="165"/>
      <c r="K51" s="165"/>
      <c r="L51" s="165"/>
      <c r="M51" s="165"/>
    </row>
    <row r="52" spans="3:13" x14ac:dyDescent="0.25">
      <c r="C52" s="26"/>
      <c r="E52" s="166" t="s">
        <v>338</v>
      </c>
      <c r="F52" s="166"/>
      <c r="G52" s="166"/>
      <c r="H52" s="166"/>
      <c r="I52" s="166"/>
      <c r="J52" s="166"/>
      <c r="K52" s="166"/>
      <c r="L52" s="166"/>
      <c r="M52" s="63">
        <f>+M50+M49+M48</f>
        <v>0</v>
      </c>
    </row>
    <row r="53" spans="3:13" x14ac:dyDescent="0.25">
      <c r="C53" s="26"/>
      <c r="E53" s="157"/>
      <c r="F53" s="157"/>
      <c r="G53" s="157"/>
      <c r="H53" s="157"/>
      <c r="I53" s="157"/>
      <c r="J53" s="157"/>
      <c r="K53" s="157"/>
      <c r="L53" s="157"/>
      <c r="M53" s="157"/>
    </row>
    <row r="54" spans="3:13" ht="10.5" customHeight="1" x14ac:dyDescent="0.25">
      <c r="C54" s="26"/>
      <c r="E54" s="74"/>
      <c r="F54" s="74"/>
      <c r="G54" s="74"/>
      <c r="H54" s="74"/>
      <c r="I54" s="74"/>
      <c r="J54" s="74"/>
      <c r="K54" s="74"/>
      <c r="L54" s="74"/>
      <c r="M54" s="74"/>
    </row>
    <row r="55" spans="3:13" ht="12" customHeight="1" x14ac:dyDescent="0.25">
      <c r="C55" s="26"/>
      <c r="E55" s="74"/>
      <c r="F55" s="74"/>
      <c r="G55" s="74"/>
      <c r="H55" s="74"/>
      <c r="I55" s="74"/>
      <c r="J55" s="74"/>
      <c r="K55" s="74"/>
      <c r="L55" s="74"/>
      <c r="M55" s="74"/>
    </row>
    <row r="56" spans="3:13" x14ac:dyDescent="0.25">
      <c r="C56" s="26"/>
      <c r="E56" s="16" t="s">
        <v>339</v>
      </c>
      <c r="F56" s="136" t="s">
        <v>301</v>
      </c>
      <c r="G56" s="136"/>
      <c r="H56" s="136"/>
      <c r="I56" s="136"/>
      <c r="J56" s="136"/>
      <c r="K56" s="136"/>
      <c r="L56" s="136"/>
      <c r="M56" s="136"/>
    </row>
    <row r="57" spans="3:13" x14ac:dyDescent="0.25">
      <c r="C57" s="26">
        <v>10735</v>
      </c>
      <c r="E57" s="46" t="s">
        <v>340</v>
      </c>
      <c r="F57" s="172" t="s">
        <v>302</v>
      </c>
      <c r="G57" s="172"/>
      <c r="H57" s="172"/>
      <c r="I57" s="172"/>
      <c r="J57" s="172"/>
      <c r="K57" s="172"/>
      <c r="L57" s="81">
        <v>0</v>
      </c>
      <c r="M57" s="87">
        <f>+L57*(C57*($M$76/$M$75))</f>
        <v>0</v>
      </c>
    </row>
    <row r="58" spans="3:13" x14ac:dyDescent="0.25">
      <c r="C58" s="26"/>
      <c r="E58" s="46" t="s">
        <v>341</v>
      </c>
      <c r="F58" s="172" t="s">
        <v>303</v>
      </c>
      <c r="G58" s="172"/>
      <c r="H58" s="172"/>
      <c r="I58" s="172"/>
      <c r="J58" s="172"/>
      <c r="K58" s="74"/>
      <c r="L58" s="74"/>
      <c r="M58" s="74"/>
    </row>
    <row r="59" spans="3:13" x14ac:dyDescent="0.25">
      <c r="C59" s="26">
        <v>3428</v>
      </c>
      <c r="E59" s="46"/>
      <c r="F59" s="74"/>
      <c r="G59" s="92" t="s">
        <v>304</v>
      </c>
      <c r="H59" s="74"/>
      <c r="I59" s="93">
        <f>C59*($M$76/$M$75)</f>
        <v>4719.034670292318</v>
      </c>
      <c r="J59" s="74"/>
      <c r="K59" s="74"/>
      <c r="L59" s="81">
        <v>0</v>
      </c>
      <c r="M59" s="87">
        <f>+L59*I59</f>
        <v>0</v>
      </c>
    </row>
    <row r="60" spans="3:13" x14ac:dyDescent="0.25">
      <c r="C60" s="26">
        <v>6916</v>
      </c>
      <c r="E60" s="46"/>
      <c r="F60" s="74"/>
      <c r="G60" s="92" t="s">
        <v>305</v>
      </c>
      <c r="H60" s="74"/>
      <c r="I60" s="93">
        <f>C60*($M$76/$M$75)</f>
        <v>9520.666213460232</v>
      </c>
      <c r="J60" s="74"/>
      <c r="K60" s="74"/>
      <c r="L60" s="81">
        <v>0</v>
      </c>
      <c r="M60" s="87">
        <f>+L60*I60</f>
        <v>0</v>
      </c>
    </row>
    <row r="61" spans="3:13" x14ac:dyDescent="0.25">
      <c r="C61" s="26"/>
      <c r="E61" s="165"/>
      <c r="F61" s="165"/>
      <c r="G61" s="165"/>
      <c r="H61" s="165"/>
      <c r="I61" s="165"/>
      <c r="J61" s="165"/>
      <c r="K61" s="165"/>
      <c r="L61" s="165"/>
      <c r="M61" s="165"/>
    </row>
    <row r="62" spans="3:13" x14ac:dyDescent="0.25">
      <c r="C62" s="26"/>
      <c r="E62" s="166" t="s">
        <v>342</v>
      </c>
      <c r="F62" s="166"/>
      <c r="G62" s="166"/>
      <c r="H62" s="166"/>
      <c r="I62" s="166"/>
      <c r="J62" s="166"/>
      <c r="K62" s="166"/>
      <c r="L62" s="166"/>
      <c r="M62" s="63">
        <f>+M60+M59+M57</f>
        <v>0</v>
      </c>
    </row>
    <row r="63" spans="3:13" x14ac:dyDescent="0.25">
      <c r="C63" s="26"/>
      <c r="E63" s="157"/>
      <c r="F63" s="157"/>
      <c r="G63" s="157"/>
      <c r="H63" s="157"/>
      <c r="I63" s="157"/>
      <c r="J63" s="157"/>
      <c r="K63" s="157"/>
      <c r="L63" s="157"/>
      <c r="M63" s="157"/>
    </row>
    <row r="64" spans="3:13" ht="10.5" customHeight="1" x14ac:dyDescent="0.25">
      <c r="C64" s="26"/>
      <c r="E64" s="74"/>
      <c r="F64" s="74"/>
      <c r="G64" s="74"/>
      <c r="H64" s="74"/>
      <c r="I64" s="74"/>
      <c r="J64" s="74"/>
      <c r="K64" s="74"/>
      <c r="L64" s="74"/>
      <c r="M64" s="74"/>
    </row>
    <row r="65" spans="3:13" ht="10.5" customHeight="1" x14ac:dyDescent="0.25">
      <c r="C65" s="26"/>
      <c r="E65" s="74"/>
      <c r="F65" s="74"/>
      <c r="G65" s="74"/>
      <c r="H65" s="74"/>
      <c r="I65" s="74"/>
      <c r="J65" s="74"/>
      <c r="K65" s="74"/>
      <c r="L65" s="74"/>
      <c r="M65" s="74"/>
    </row>
    <row r="66" spans="3:13" x14ac:dyDescent="0.25">
      <c r="C66" s="26"/>
      <c r="E66" s="16" t="s">
        <v>343</v>
      </c>
      <c r="F66" s="136" t="s">
        <v>306</v>
      </c>
      <c r="G66" s="136"/>
      <c r="H66" s="136"/>
      <c r="I66" s="136"/>
      <c r="J66" s="136"/>
      <c r="K66" s="136"/>
      <c r="L66" s="136"/>
      <c r="M66" s="136"/>
    </row>
    <row r="67" spans="3:13" ht="35.25" customHeight="1" x14ac:dyDescent="0.25">
      <c r="C67" s="94">
        <v>12.1</v>
      </c>
      <c r="E67" s="46" t="s">
        <v>344</v>
      </c>
      <c r="F67" s="173" t="s">
        <v>307</v>
      </c>
      <c r="G67" s="173"/>
      <c r="H67" s="173"/>
      <c r="I67" s="173"/>
      <c r="J67" s="95">
        <f>C67*($M$76/$M$75)</f>
        <v>16.657036029911623</v>
      </c>
      <c r="K67" s="74"/>
      <c r="L67" s="96">
        <v>0</v>
      </c>
      <c r="M67" s="87">
        <f>+L67*J67</f>
        <v>0</v>
      </c>
    </row>
    <row r="68" spans="3:13" x14ac:dyDescent="0.25">
      <c r="C68" s="26"/>
      <c r="E68" s="165"/>
      <c r="F68" s="165"/>
      <c r="G68" s="165"/>
      <c r="H68" s="165"/>
      <c r="I68" s="165"/>
      <c r="J68" s="165"/>
      <c r="K68" s="165"/>
      <c r="L68" s="165"/>
      <c r="M68" s="165"/>
    </row>
    <row r="69" spans="3:13" x14ac:dyDescent="0.25">
      <c r="C69" s="26"/>
      <c r="E69" s="166" t="s">
        <v>345</v>
      </c>
      <c r="F69" s="166"/>
      <c r="G69" s="166"/>
      <c r="H69" s="166"/>
      <c r="I69" s="166"/>
      <c r="J69" s="166"/>
      <c r="K69" s="166"/>
      <c r="L69" s="166"/>
      <c r="M69" s="63">
        <f>+M67</f>
        <v>0</v>
      </c>
    </row>
    <row r="70" spans="3:13" x14ac:dyDescent="0.25">
      <c r="C70" s="26"/>
      <c r="E70" s="157"/>
      <c r="F70" s="157"/>
      <c r="G70" s="157"/>
      <c r="H70" s="157"/>
      <c r="I70" s="157"/>
      <c r="J70" s="157"/>
      <c r="K70" s="157"/>
      <c r="L70" s="157"/>
      <c r="M70" s="157"/>
    </row>
    <row r="71" spans="3:13" x14ac:dyDescent="0.25">
      <c r="C71" s="26"/>
      <c r="E71" s="46"/>
      <c r="F71" s="8"/>
      <c r="G71" s="8"/>
      <c r="H71" s="8"/>
      <c r="I71" s="8"/>
      <c r="J71" s="8"/>
      <c r="K71" s="8"/>
      <c r="L71" s="8"/>
      <c r="M71" s="8"/>
    </row>
    <row r="72" spans="3:13" x14ac:dyDescent="0.25">
      <c r="E72" s="99"/>
      <c r="F72" s="99"/>
      <c r="G72" s="99"/>
      <c r="H72" s="99"/>
      <c r="I72" s="99"/>
      <c r="J72" s="106"/>
      <c r="K72" s="175" t="s">
        <v>106</v>
      </c>
      <c r="L72" s="175"/>
      <c r="M72" s="107">
        <f>+M13+M30+M37+M52+M62</f>
        <v>344153.63698164513</v>
      </c>
    </row>
    <row r="73" spans="3:13" x14ac:dyDescent="0.25">
      <c r="E73" s="99"/>
      <c r="F73" s="99"/>
      <c r="G73" s="99"/>
      <c r="H73" s="99"/>
      <c r="I73" s="99"/>
      <c r="J73" s="99"/>
      <c r="K73" s="99"/>
      <c r="L73" s="99"/>
      <c r="M73" s="99"/>
    </row>
    <row r="74" spans="3:13" x14ac:dyDescent="0.25">
      <c r="E74" s="162" t="s">
        <v>308</v>
      </c>
      <c r="F74" s="163"/>
      <c r="G74" s="163"/>
      <c r="H74" s="163"/>
      <c r="I74" s="164"/>
      <c r="J74" s="162" t="s">
        <v>379</v>
      </c>
      <c r="K74" s="163"/>
      <c r="L74" s="163"/>
      <c r="M74" s="164"/>
    </row>
    <row r="75" spans="3:13" ht="15" customHeight="1" x14ac:dyDescent="0.25">
      <c r="E75" s="161" t="s">
        <v>309</v>
      </c>
      <c r="F75" s="156"/>
      <c r="G75" s="156"/>
      <c r="H75" s="156"/>
      <c r="I75" s="100">
        <v>292.3</v>
      </c>
      <c r="J75" s="161" t="s">
        <v>280</v>
      </c>
      <c r="K75" s="156"/>
      <c r="L75" s="156"/>
      <c r="M75" s="102">
        <v>147.1</v>
      </c>
    </row>
    <row r="76" spans="3:13" ht="15" customHeight="1" x14ac:dyDescent="0.25">
      <c r="E76" s="161" t="s">
        <v>356</v>
      </c>
      <c r="F76" s="156"/>
      <c r="G76" s="156"/>
      <c r="H76" s="156"/>
      <c r="I76" s="70">
        <v>416.5</v>
      </c>
      <c r="J76" s="161" t="s">
        <v>281</v>
      </c>
      <c r="K76" s="156"/>
      <c r="L76" s="156"/>
      <c r="M76" s="102">
        <f>+Vísitölur_frá_Hagstofu[Byggingarvísitala jan]</f>
        <v>202.5</v>
      </c>
    </row>
    <row r="77" spans="3:13" ht="15" customHeight="1" x14ac:dyDescent="0.25">
      <c r="E77" s="161" t="s">
        <v>310</v>
      </c>
      <c r="F77" s="156"/>
      <c r="G77" s="156"/>
      <c r="H77" s="156"/>
      <c r="I77" s="100">
        <v>712.1</v>
      </c>
      <c r="J77" s="103"/>
      <c r="K77" s="8"/>
      <c r="L77" s="8"/>
      <c r="M77" s="100"/>
    </row>
    <row r="78" spans="3:13" ht="15" customHeight="1" x14ac:dyDescent="0.25">
      <c r="E78" s="161" t="s">
        <v>311</v>
      </c>
      <c r="F78" s="156"/>
      <c r="G78" s="156"/>
      <c r="H78" s="156"/>
      <c r="I78" s="102">
        <f>+Vísitölur_frá_Hagstofu[Vísitala]</f>
        <v>1030.5999999999999</v>
      </c>
      <c r="J78" s="103"/>
      <c r="K78" s="8"/>
      <c r="L78" s="8"/>
      <c r="M78" s="100"/>
    </row>
    <row r="79" spans="3:13" ht="15" customHeight="1" x14ac:dyDescent="0.25">
      <c r="E79" s="161" t="s">
        <v>312</v>
      </c>
      <c r="F79" s="156"/>
      <c r="G79" s="156"/>
      <c r="H79" s="156"/>
      <c r="I79" s="102" t="e">
        <f>+Vísitölur_frá_Hagstofu[Rúmmetraverð]</f>
        <v>#DIV/0!</v>
      </c>
      <c r="J79" s="103"/>
      <c r="K79" s="8"/>
      <c r="L79" s="8"/>
      <c r="M79" s="100"/>
    </row>
    <row r="80" spans="3:13" ht="15" customHeight="1" x14ac:dyDescent="0.25">
      <c r="E80" s="161" t="s">
        <v>254</v>
      </c>
      <c r="F80" s="156"/>
      <c r="G80" s="156"/>
      <c r="H80" s="156"/>
      <c r="I80" s="108">
        <v>117895</v>
      </c>
      <c r="J80" s="103"/>
      <c r="K80" s="8"/>
      <c r="L80" s="8"/>
      <c r="M80" s="100"/>
    </row>
    <row r="81" spans="5:13" ht="15" customHeight="1" x14ac:dyDescent="0.25">
      <c r="E81" s="159" t="s">
        <v>313</v>
      </c>
      <c r="F81" s="160"/>
      <c r="G81" s="160"/>
      <c r="H81" s="160"/>
      <c r="I81" s="130">
        <f>+Vísitölur_frá_Hagstofu[Fermetraverð]</f>
        <v>321516</v>
      </c>
      <c r="J81" s="104"/>
      <c r="K81" s="105"/>
      <c r="L81" s="105"/>
      <c r="M81" s="101"/>
    </row>
    <row r="82" spans="5:13" x14ac:dyDescent="0.25">
      <c r="E82" s="8"/>
      <c r="F82" s="8"/>
      <c r="G82" s="8"/>
      <c r="H82" s="8"/>
      <c r="I82" s="8"/>
      <c r="J82" s="8"/>
      <c r="K82" s="8"/>
      <c r="L82" s="8"/>
      <c r="M82" s="8"/>
    </row>
    <row r="83" spans="5:13" x14ac:dyDescent="0.25">
      <c r="E83" s="8" t="str">
        <f>+Heild!E236</f>
        <v>Gjaldskrá fyrir byggingarleyfis- og þjónustugjöld í Svf. Ölfusi 31.1.2019</v>
      </c>
      <c r="F83" s="8"/>
      <c r="G83" s="8"/>
      <c r="H83" s="8"/>
      <c r="I83" s="8"/>
      <c r="J83" s="8"/>
      <c r="K83" s="8"/>
      <c r="L83" s="8"/>
      <c r="M83" s="8"/>
    </row>
    <row r="84" spans="5:13" x14ac:dyDescent="0.25">
      <c r="E84" s="8" t="str">
        <f>+Heild!E237</f>
        <v>Gjöld skv. samþykkt um gatnagerðargjöld fyrir Sveitarfélagið Ölfus, 20. ágúst 2020</v>
      </c>
      <c r="F84" s="8"/>
      <c r="G84" s="8"/>
      <c r="H84" s="8"/>
      <c r="I84" s="8"/>
      <c r="J84" s="8"/>
      <c r="K84" s="8"/>
      <c r="L84" s="8"/>
      <c r="M84" s="8"/>
    </row>
    <row r="85" spans="5:13" x14ac:dyDescent="0.25">
      <c r="E85" s="8" t="str">
        <f>+Heild!E238</f>
        <v>Það % hlutfall sem gefið er upp er hlutfall af vísitölu fermetrakostnaði við vísitölu hús byggt á grunni frá 1987.</v>
      </c>
      <c r="F85" s="8"/>
      <c r="G85" s="8"/>
      <c r="H85" s="8"/>
      <c r="I85" s="8"/>
      <c r="J85" s="8"/>
      <c r="K85" s="8"/>
      <c r="L85" s="8"/>
      <c r="M85" s="8"/>
    </row>
  </sheetData>
  <dataConsolidate link="1"/>
  <mergeCells count="72">
    <mergeCell ref="E77:H77"/>
    <mergeCell ref="E78:H78"/>
    <mergeCell ref="E79:H79"/>
    <mergeCell ref="E80:H80"/>
    <mergeCell ref="E81:H81"/>
    <mergeCell ref="E76:H76"/>
    <mergeCell ref="J76:L76"/>
    <mergeCell ref="E63:M63"/>
    <mergeCell ref="F66:M66"/>
    <mergeCell ref="F67:I67"/>
    <mergeCell ref="E68:M68"/>
    <mergeCell ref="E69:L69"/>
    <mergeCell ref="E70:M70"/>
    <mergeCell ref="K72:L72"/>
    <mergeCell ref="E74:I74"/>
    <mergeCell ref="J74:M74"/>
    <mergeCell ref="E75:H75"/>
    <mergeCell ref="J75:L75"/>
    <mergeCell ref="E62:L62"/>
    <mergeCell ref="K47:L47"/>
    <mergeCell ref="K48:L48"/>
    <mergeCell ref="K49:L49"/>
    <mergeCell ref="K50:L50"/>
    <mergeCell ref="E51:M51"/>
    <mergeCell ref="E52:L52"/>
    <mergeCell ref="E53:M53"/>
    <mergeCell ref="F56:M56"/>
    <mergeCell ref="F57:K57"/>
    <mergeCell ref="F58:J58"/>
    <mergeCell ref="E61:M61"/>
    <mergeCell ref="K46:L46"/>
    <mergeCell ref="E30:L30"/>
    <mergeCell ref="E31:M31"/>
    <mergeCell ref="F34:M34"/>
    <mergeCell ref="E36:M36"/>
    <mergeCell ref="E37:L37"/>
    <mergeCell ref="E38:M38"/>
    <mergeCell ref="F41:M41"/>
    <mergeCell ref="K42:L42"/>
    <mergeCell ref="K43:L43"/>
    <mergeCell ref="K44:L44"/>
    <mergeCell ref="K45:L45"/>
    <mergeCell ref="E29:M29"/>
    <mergeCell ref="F17:M17"/>
    <mergeCell ref="F18:H18"/>
    <mergeCell ref="F19:H19"/>
    <mergeCell ref="F20:H20"/>
    <mergeCell ref="F21:H21"/>
    <mergeCell ref="F22:H22"/>
    <mergeCell ref="F23:H23"/>
    <mergeCell ref="F24:H24"/>
    <mergeCell ref="F25:H25"/>
    <mergeCell ref="F26:H26"/>
    <mergeCell ref="F28:J28"/>
    <mergeCell ref="E14:M14"/>
    <mergeCell ref="F5:I5"/>
    <mergeCell ref="K5:M5"/>
    <mergeCell ref="F6:I6"/>
    <mergeCell ref="K6:M6"/>
    <mergeCell ref="E7:I7"/>
    <mergeCell ref="J7:M7"/>
    <mergeCell ref="E8:I8"/>
    <mergeCell ref="F10:M10"/>
    <mergeCell ref="F11:G11"/>
    <mergeCell ref="E12:M12"/>
    <mergeCell ref="E13:L13"/>
    <mergeCell ref="E1:M1"/>
    <mergeCell ref="E2:M2"/>
    <mergeCell ref="F3:I3"/>
    <mergeCell ref="K3:M3"/>
    <mergeCell ref="F4:I4"/>
    <mergeCell ref="K4:M4"/>
  </mergeCells>
  <printOptions horizontalCentered="1"/>
  <pageMargins left="0.70866141732283472" right="0.70866141732283472" top="0.74803149606299213" bottom="0.74803149606299213" header="0.31496062992125984" footer="0.31496062992125984"/>
  <pageSetup paperSize="9" scale="72" fitToHeight="0" orientation="portrait" errors="dash" r:id="rId1"/>
  <headerFooter>
    <oddHeader>&amp;L&amp;G&amp;R&amp;D/&amp;T</oddHeader>
    <oddFooter>&amp;L&amp;F
Gjaldskrá - &amp;A&amp;R&amp;P/&amp;N</oddFooter>
  </headerFooter>
  <legacy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tabColor rgb="FFFF0000"/>
    <pageSetUpPr fitToPage="1"/>
  </sheetPr>
  <dimension ref="A5:I35"/>
  <sheetViews>
    <sheetView topLeftCell="A26" zoomScaleNormal="100" zoomScaleSheetLayoutView="100" workbookViewId="0">
      <selection activeCell="I32" sqref="I32"/>
    </sheetView>
  </sheetViews>
  <sheetFormatPr defaultColWidth="9.140625" defaultRowHeight="15" x14ac:dyDescent="0.25"/>
  <cols>
    <col min="1" max="1" width="10.140625" bestFit="1" customWidth="1"/>
  </cols>
  <sheetData>
    <row r="5" spans="1:9" x14ac:dyDescent="0.25">
      <c r="A5" s="28" t="s">
        <v>126</v>
      </c>
      <c r="I5" s="58" t="s">
        <v>137</v>
      </c>
    </row>
    <row r="6" spans="1:9" ht="30.75" customHeight="1" x14ac:dyDescent="0.25">
      <c r="A6" s="64">
        <v>42824</v>
      </c>
      <c r="B6" s="180" t="s">
        <v>127</v>
      </c>
      <c r="C6" s="180"/>
      <c r="D6" s="180"/>
      <c r="E6" s="180"/>
      <c r="F6" s="180"/>
      <c r="G6" s="180"/>
      <c r="H6" s="180"/>
      <c r="I6" s="35" t="s">
        <v>138</v>
      </c>
    </row>
    <row r="7" spans="1:9" x14ac:dyDescent="0.25">
      <c r="A7" s="64">
        <v>42824</v>
      </c>
      <c r="B7" s="180" t="s">
        <v>130</v>
      </c>
      <c r="C7" s="180"/>
      <c r="D7" s="180"/>
      <c r="E7" s="180"/>
      <c r="F7" s="180"/>
      <c r="G7" s="180"/>
      <c r="H7" s="180"/>
      <c r="I7" s="35" t="s">
        <v>138</v>
      </c>
    </row>
    <row r="8" spans="1:9" x14ac:dyDescent="0.25">
      <c r="A8" s="64">
        <v>43004</v>
      </c>
      <c r="B8" s="180" t="s">
        <v>131</v>
      </c>
      <c r="C8" s="180"/>
      <c r="D8" s="180"/>
      <c r="E8" s="180"/>
      <c r="F8" s="180"/>
      <c r="G8" s="180"/>
      <c r="H8" s="180"/>
      <c r="I8" s="35" t="s">
        <v>138</v>
      </c>
    </row>
    <row r="9" spans="1:9" x14ac:dyDescent="0.25">
      <c r="A9" s="64">
        <v>43004</v>
      </c>
      <c r="B9" s="180" t="s">
        <v>135</v>
      </c>
      <c r="C9" s="180"/>
      <c r="D9" s="180"/>
      <c r="E9" s="180"/>
      <c r="F9" s="180"/>
      <c r="G9" s="180"/>
      <c r="H9" s="180"/>
      <c r="I9" s="35" t="s">
        <v>138</v>
      </c>
    </row>
    <row r="10" spans="1:9" x14ac:dyDescent="0.25">
      <c r="A10" s="64">
        <v>43004</v>
      </c>
      <c r="B10" s="180" t="s">
        <v>136</v>
      </c>
      <c r="C10" s="180"/>
      <c r="D10" s="180"/>
      <c r="E10" s="180"/>
      <c r="F10" s="180"/>
      <c r="G10" s="180"/>
      <c r="H10" s="180"/>
      <c r="I10" s="35" t="s">
        <v>138</v>
      </c>
    </row>
    <row r="11" spans="1:9" x14ac:dyDescent="0.25">
      <c r="A11" s="65">
        <v>43054</v>
      </c>
      <c r="B11" s="185" t="s">
        <v>139</v>
      </c>
      <c r="C11" s="185"/>
      <c r="D11" s="185"/>
      <c r="E11" s="185"/>
      <c r="F11" s="185"/>
      <c r="G11" s="185"/>
      <c r="H11" s="185"/>
      <c r="I11" s="35" t="s">
        <v>138</v>
      </c>
    </row>
    <row r="12" spans="1:9" x14ac:dyDescent="0.25">
      <c r="A12" s="65">
        <v>43070</v>
      </c>
      <c r="B12" s="185" t="s">
        <v>140</v>
      </c>
      <c r="C12" s="185"/>
      <c r="D12" s="185"/>
      <c r="E12" s="185"/>
      <c r="F12" s="185"/>
      <c r="G12" s="185"/>
      <c r="H12" s="185"/>
      <c r="I12" s="35" t="s">
        <v>138</v>
      </c>
    </row>
    <row r="13" spans="1:9" ht="30" customHeight="1" x14ac:dyDescent="0.25">
      <c r="A13" s="65">
        <v>43431</v>
      </c>
      <c r="B13" s="180" t="s">
        <v>144</v>
      </c>
      <c r="C13" s="180"/>
      <c r="D13" s="180"/>
      <c r="E13" s="180"/>
      <c r="F13" s="180"/>
      <c r="G13" s="180"/>
      <c r="H13" s="180"/>
      <c r="I13" s="35" t="s">
        <v>138</v>
      </c>
    </row>
    <row r="14" spans="1:9" x14ac:dyDescent="0.25">
      <c r="A14" s="65">
        <v>43432</v>
      </c>
      <c r="B14" s="185" t="s">
        <v>145</v>
      </c>
      <c r="C14" s="185"/>
      <c r="D14" s="185"/>
      <c r="E14" s="185"/>
      <c r="F14" s="185"/>
      <c r="G14" s="185"/>
      <c r="H14" s="185"/>
      <c r="I14" s="35" t="s">
        <v>138</v>
      </c>
    </row>
    <row r="15" spans="1:9" x14ac:dyDescent="0.25">
      <c r="A15" s="182">
        <v>43474</v>
      </c>
      <c r="B15" s="180" t="s">
        <v>146</v>
      </c>
      <c r="C15" s="180"/>
      <c r="D15" s="180"/>
      <c r="E15" s="180"/>
      <c r="F15" s="180"/>
      <c r="G15" s="180"/>
      <c r="H15" s="180"/>
      <c r="I15" s="180" t="s">
        <v>138</v>
      </c>
    </row>
    <row r="16" spans="1:9" x14ac:dyDescent="0.25">
      <c r="A16" s="182"/>
      <c r="B16" s="180"/>
      <c r="C16" s="180"/>
      <c r="D16" s="180"/>
      <c r="E16" s="180"/>
      <c r="F16" s="180"/>
      <c r="G16" s="180"/>
      <c r="H16" s="180"/>
      <c r="I16" s="180"/>
    </row>
    <row r="17" spans="1:9" ht="15" customHeight="1" x14ac:dyDescent="0.25">
      <c r="A17" s="181">
        <v>43579</v>
      </c>
      <c r="B17" s="180" t="s">
        <v>151</v>
      </c>
      <c r="C17" s="180"/>
      <c r="D17" s="180"/>
      <c r="E17" s="180"/>
      <c r="F17" s="180"/>
      <c r="G17" s="180"/>
      <c r="H17" s="180"/>
      <c r="I17" s="185" t="s">
        <v>138</v>
      </c>
    </row>
    <row r="18" spans="1:9" x14ac:dyDescent="0.25">
      <c r="A18" s="181"/>
      <c r="B18" s="180"/>
      <c r="C18" s="180"/>
      <c r="D18" s="180"/>
      <c r="E18" s="180"/>
      <c r="F18" s="180"/>
      <c r="G18" s="180"/>
      <c r="H18" s="180"/>
      <c r="I18" s="185"/>
    </row>
    <row r="19" spans="1:9" x14ac:dyDescent="0.25">
      <c r="A19" s="181"/>
      <c r="B19" s="180"/>
      <c r="C19" s="180"/>
      <c r="D19" s="180"/>
      <c r="E19" s="180"/>
      <c r="F19" s="180"/>
      <c r="G19" s="180"/>
      <c r="H19" s="180"/>
      <c r="I19" s="185"/>
    </row>
    <row r="20" spans="1:9" ht="30.75" customHeight="1" x14ac:dyDescent="0.25">
      <c r="A20" s="66">
        <v>43810</v>
      </c>
      <c r="B20" s="184" t="s">
        <v>153</v>
      </c>
      <c r="C20" s="184"/>
      <c r="D20" s="184"/>
      <c r="E20" s="184"/>
      <c r="F20" s="184"/>
      <c r="G20" s="184"/>
      <c r="H20" s="184"/>
      <c r="I20" s="35" t="s">
        <v>138</v>
      </c>
    </row>
    <row r="21" spans="1:9" ht="31.5" customHeight="1" x14ac:dyDescent="0.25">
      <c r="A21" s="66">
        <v>43811</v>
      </c>
      <c r="B21" s="183" t="s">
        <v>154</v>
      </c>
      <c r="C21" s="183"/>
      <c r="D21" s="183"/>
      <c r="E21" s="183"/>
      <c r="F21" s="183"/>
      <c r="G21" s="183"/>
      <c r="H21" s="183"/>
      <c r="I21" s="35" t="s">
        <v>138</v>
      </c>
    </row>
    <row r="22" spans="1:9" ht="31.5" customHeight="1" x14ac:dyDescent="0.25">
      <c r="A22" s="66">
        <v>43851</v>
      </c>
      <c r="B22" s="183" t="s">
        <v>155</v>
      </c>
      <c r="C22" s="183"/>
      <c r="D22" s="183"/>
      <c r="E22" s="183"/>
      <c r="F22" s="183"/>
      <c r="G22" s="183"/>
      <c r="H22" s="183"/>
      <c r="I22" s="35" t="s">
        <v>138</v>
      </c>
    </row>
    <row r="23" spans="1:9" ht="36.75" customHeight="1" x14ac:dyDescent="0.25">
      <c r="A23" s="66">
        <v>43860</v>
      </c>
      <c r="B23" s="183" t="s">
        <v>156</v>
      </c>
      <c r="C23" s="183"/>
      <c r="D23" s="183"/>
      <c r="E23" s="183"/>
      <c r="F23" s="183"/>
      <c r="G23" s="183"/>
      <c r="H23" s="183"/>
      <c r="I23" s="35" t="s">
        <v>138</v>
      </c>
    </row>
    <row r="24" spans="1:9" ht="33.75" customHeight="1" x14ac:dyDescent="0.25">
      <c r="A24" s="66">
        <v>43888</v>
      </c>
      <c r="B24" s="183" t="s">
        <v>239</v>
      </c>
      <c r="C24" s="183"/>
      <c r="D24" s="183"/>
      <c r="E24" s="183"/>
      <c r="F24" s="183"/>
      <c r="G24" s="183"/>
      <c r="H24" s="183"/>
      <c r="I24" s="35" t="s">
        <v>138</v>
      </c>
    </row>
    <row r="25" spans="1:9" x14ac:dyDescent="0.25">
      <c r="A25" s="66">
        <v>43979</v>
      </c>
      <c r="B25" s="183" t="s">
        <v>246</v>
      </c>
      <c r="C25" s="183"/>
      <c r="D25" s="183"/>
      <c r="E25" s="183"/>
      <c r="F25" s="183"/>
      <c r="G25" s="183"/>
      <c r="H25" s="183"/>
      <c r="I25" s="35" t="s">
        <v>138</v>
      </c>
    </row>
    <row r="26" spans="1:9" x14ac:dyDescent="0.25">
      <c r="A26" s="109">
        <v>44071</v>
      </c>
      <c r="B26" s="180" t="s">
        <v>247</v>
      </c>
      <c r="C26" s="180"/>
      <c r="D26" s="180"/>
      <c r="E26" s="180"/>
      <c r="F26" s="180"/>
      <c r="G26" s="180"/>
      <c r="H26" s="180"/>
      <c r="I26" s="35" t="s">
        <v>248</v>
      </c>
    </row>
    <row r="27" spans="1:9" ht="30" customHeight="1" x14ac:dyDescent="0.25">
      <c r="A27" s="66">
        <v>44104</v>
      </c>
      <c r="B27" s="180" t="s">
        <v>357</v>
      </c>
      <c r="C27" s="180"/>
      <c r="D27" s="180"/>
      <c r="E27" s="180"/>
      <c r="F27" s="180"/>
      <c r="G27" s="180"/>
      <c r="H27" s="180"/>
      <c r="I27" s="35" t="s">
        <v>138</v>
      </c>
    </row>
    <row r="28" spans="1:9" x14ac:dyDescent="0.25">
      <c r="A28" s="66">
        <v>44110</v>
      </c>
      <c r="B28" s="180" t="s">
        <v>368</v>
      </c>
      <c r="C28" s="180"/>
      <c r="D28" s="180"/>
      <c r="E28" s="180"/>
      <c r="F28" s="180"/>
      <c r="G28" s="180"/>
      <c r="H28" s="180"/>
      <c r="I28" s="35" t="s">
        <v>138</v>
      </c>
    </row>
    <row r="29" spans="1:9" ht="34.5" customHeight="1" x14ac:dyDescent="0.25">
      <c r="A29" s="134">
        <v>44152</v>
      </c>
      <c r="B29" s="180" t="s">
        <v>373</v>
      </c>
      <c r="C29" s="180"/>
      <c r="D29" s="180"/>
      <c r="E29" s="180"/>
      <c r="F29" s="180"/>
      <c r="G29" s="180"/>
      <c r="H29" s="180"/>
      <c r="I29" s="35" t="s">
        <v>138</v>
      </c>
    </row>
    <row r="30" spans="1:9" ht="63" customHeight="1" x14ac:dyDescent="0.25">
      <c r="A30" s="134">
        <v>44663</v>
      </c>
      <c r="B30" s="180" t="s">
        <v>378</v>
      </c>
      <c r="C30" s="180"/>
      <c r="D30" s="180"/>
      <c r="E30" s="180"/>
      <c r="F30" s="180"/>
      <c r="G30" s="180"/>
      <c r="H30" s="180"/>
      <c r="I30" s="35" t="s">
        <v>376</v>
      </c>
    </row>
    <row r="31" spans="1:9" ht="37.5" customHeight="1" x14ac:dyDescent="0.25">
      <c r="A31" s="134">
        <v>45294</v>
      </c>
      <c r="B31" s="180" t="s">
        <v>382</v>
      </c>
      <c r="C31" s="180"/>
      <c r="D31" s="180"/>
      <c r="E31" s="180"/>
      <c r="F31" s="180"/>
      <c r="G31" s="180"/>
      <c r="H31" s="180"/>
      <c r="I31" s="35" t="s">
        <v>383</v>
      </c>
    </row>
    <row r="32" spans="1:9" x14ac:dyDescent="0.25">
      <c r="A32" s="58"/>
    </row>
    <row r="33" spans="1:1" x14ac:dyDescent="0.25">
      <c r="A33" s="58"/>
    </row>
    <row r="34" spans="1:1" x14ac:dyDescent="0.25">
      <c r="A34" s="58"/>
    </row>
    <row r="35" spans="1:1" x14ac:dyDescent="0.25">
      <c r="A35" s="58"/>
    </row>
  </sheetData>
  <dataConsolidate link="1"/>
  <mergeCells count="27">
    <mergeCell ref="B14:H14"/>
    <mergeCell ref="B13:H13"/>
    <mergeCell ref="B6:H6"/>
    <mergeCell ref="B7:H7"/>
    <mergeCell ref="B8:H8"/>
    <mergeCell ref="B9:H9"/>
    <mergeCell ref="B10:H10"/>
    <mergeCell ref="B11:H11"/>
    <mergeCell ref="B12:H12"/>
    <mergeCell ref="A15:A16"/>
    <mergeCell ref="B27:H27"/>
    <mergeCell ref="B26:H26"/>
    <mergeCell ref="B25:H25"/>
    <mergeCell ref="I15:I16"/>
    <mergeCell ref="B20:H20"/>
    <mergeCell ref="B24:H24"/>
    <mergeCell ref="B23:H23"/>
    <mergeCell ref="B22:H22"/>
    <mergeCell ref="B21:H21"/>
    <mergeCell ref="I17:I19"/>
    <mergeCell ref="B15:H16"/>
    <mergeCell ref="B17:H19"/>
    <mergeCell ref="B31:H31"/>
    <mergeCell ref="B30:H30"/>
    <mergeCell ref="B29:H29"/>
    <mergeCell ref="B28:H28"/>
    <mergeCell ref="A17:A19"/>
  </mergeCells>
  <pageMargins left="0.70866141732283472" right="0.70866141732283472" top="0.74803149606299213" bottom="0.74803149606299213" header="0.31496062992125984" footer="0.31496062992125984"/>
  <pageSetup paperSize="9" fitToHeight="0" orientation="portrait" errors="dash" r:id="rId1"/>
  <headerFooter>
    <oddHeader>&amp;L&amp;G&amp;R&amp;D/&amp;T</oddHeader>
    <oddFooter>&amp;L&amp;F
&amp;A&amp;R&amp;P/&amp;N</oddFooter>
  </headerFooter>
  <legacyDrawingHF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0000"/>
  </sheetPr>
  <dimension ref="A1:D11"/>
  <sheetViews>
    <sheetView tabSelected="1" topLeftCell="A4" workbookViewId="0">
      <selection activeCell="B10" sqref="B10"/>
    </sheetView>
  </sheetViews>
  <sheetFormatPr defaultRowHeight="15" x14ac:dyDescent="0.25"/>
  <cols>
    <col min="1" max="1" width="52.7109375" customWidth="1"/>
    <col min="2" max="2" width="29.85546875" customWidth="1"/>
    <col min="3" max="3" width="25.7109375" customWidth="1"/>
    <col min="4" max="4" width="33.28515625" customWidth="1"/>
    <col min="8" max="8" width="9.85546875" bestFit="1" customWidth="1"/>
    <col min="9" max="9" width="15.5703125" bestFit="1" customWidth="1"/>
    <col min="10" max="10" width="16.7109375" bestFit="1" customWidth="1"/>
    <col min="11" max="11" width="21.5703125" bestFit="1" customWidth="1"/>
  </cols>
  <sheetData>
    <row r="1" spans="1:4" hidden="1" x14ac:dyDescent="0.25">
      <c r="A1" t="s">
        <v>141</v>
      </c>
      <c r="B1" t="s">
        <v>142</v>
      </c>
      <c r="C1" t="s">
        <v>143</v>
      </c>
      <c r="D1" t="s">
        <v>348</v>
      </c>
    </row>
    <row r="2" spans="1:4" hidden="1" x14ac:dyDescent="0.25">
      <c r="A2" s="129">
        <f>+B7</f>
        <v>1030.5999999999999</v>
      </c>
      <c r="B2" s="128">
        <f>+B9</f>
        <v>321516</v>
      </c>
      <c r="C2" s="128" t="e">
        <f>+B8</f>
        <v>#DIV/0!</v>
      </c>
      <c r="D2" s="129">
        <f>+B6</f>
        <v>202.5</v>
      </c>
    </row>
    <row r="3" spans="1:4" ht="15.75" hidden="1" thickBot="1" x14ac:dyDescent="0.3"/>
    <row r="4" spans="1:4" ht="36.75" customHeight="1" thickBot="1" x14ac:dyDescent="0.3">
      <c r="A4" s="187" t="s">
        <v>141</v>
      </c>
      <c r="B4" s="188"/>
    </row>
    <row r="5" spans="1:4" ht="18.75" x14ac:dyDescent="0.3">
      <c r="A5" s="123" t="s">
        <v>369</v>
      </c>
      <c r="B5" s="125">
        <v>46174</v>
      </c>
    </row>
    <row r="6" spans="1:4" ht="18.75" x14ac:dyDescent="0.3">
      <c r="A6" s="124" t="s">
        <v>377</v>
      </c>
      <c r="B6" s="127">
        <v>202.5</v>
      </c>
      <c r="C6" s="186" t="s">
        <v>372</v>
      </c>
    </row>
    <row r="7" spans="1:4" ht="18.75" x14ac:dyDescent="0.3">
      <c r="A7" s="124" t="s">
        <v>370</v>
      </c>
      <c r="B7" s="127">
        <v>1030.5999999999999</v>
      </c>
      <c r="C7" s="186"/>
    </row>
    <row r="8" spans="1:4" ht="18.75" x14ac:dyDescent="0.3">
      <c r="A8" s="131" t="s">
        <v>371</v>
      </c>
      <c r="B8" s="132" t="e">
        <f>B9/B16</f>
        <v>#DIV/0!</v>
      </c>
      <c r="C8" s="186" t="s">
        <v>372</v>
      </c>
    </row>
    <row r="9" spans="1:4" ht="19.5" thickBot="1" x14ac:dyDescent="0.35">
      <c r="A9" s="122" t="s">
        <v>385</v>
      </c>
      <c r="B9" s="126">
        <v>321516</v>
      </c>
      <c r="C9" s="186"/>
    </row>
    <row r="11" spans="1:4" ht="18.75" x14ac:dyDescent="0.3">
      <c r="A11" s="133" t="s">
        <v>386</v>
      </c>
    </row>
  </sheetData>
  <mergeCells count="3">
    <mergeCell ref="C8:C9"/>
    <mergeCell ref="C6:C7"/>
    <mergeCell ref="A4:B4"/>
  </mergeCells>
  <hyperlinks>
    <hyperlink ref="C8:C9" r:id="rId1" display="Hlekkur" xr:uid="{32ED6B96-56E3-40F3-A420-7187502B5D1C}"/>
    <hyperlink ref="C6:C7" r:id="rId2" display="Hlekkur" xr:uid="{D519FFAF-A73C-4675-821A-71DC75DE646D}"/>
  </hyperlinks>
  <pageMargins left="0.7" right="0.7" top="0.75" bottom="0.75" header="0.3" footer="0.3"/>
  <pageSetup paperSize="9" orientation="portrait" r:id="rId3"/>
  <legacyDrawing r:id="rId4"/>
  <tableParts count="1">
    <tablePart r:id="rId5"/>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CD2F7-48DE-4091-B7AB-9C5188FC9FEF}">
  <sheetPr codeName="Sheet2">
    <tabColor theme="4" tint="0.59999389629810485"/>
    <pageSetUpPr fitToPage="1"/>
  </sheetPr>
  <dimension ref="A1:T98"/>
  <sheetViews>
    <sheetView view="pageBreakPreview" topLeftCell="E1" zoomScaleNormal="100" zoomScaleSheetLayoutView="100" workbookViewId="0">
      <selection activeCell="L12" sqref="L12"/>
    </sheetView>
  </sheetViews>
  <sheetFormatPr defaultColWidth="9.140625" defaultRowHeight="15" outlineLevelCol="1" x14ac:dyDescent="0.25"/>
  <cols>
    <col min="1" max="1" width="9.140625" hidden="1" customWidth="1" outlineLevel="1"/>
    <col min="2" max="2" width="11.85546875" hidden="1" customWidth="1" outlineLevel="1"/>
    <col min="3" max="3" width="9.140625" hidden="1" customWidth="1" outlineLevel="1"/>
    <col min="4" max="4" width="12.42578125" hidden="1" customWidth="1" outlineLevel="1"/>
    <col min="5" max="5" width="7.7109375" customWidth="1" collapsed="1"/>
    <col min="6" max="6" width="5.85546875" customWidth="1"/>
    <col min="7" max="7" width="14.42578125" customWidth="1"/>
    <col min="8" max="8" width="15.42578125" customWidth="1"/>
    <col min="9" max="9" width="15.5703125" customWidth="1"/>
    <col min="10" max="10" width="22.28515625" customWidth="1"/>
    <col min="11" max="11" width="5.28515625" customWidth="1"/>
    <col min="12" max="12" width="17.5703125" customWidth="1"/>
    <col min="13" max="13" width="15.42578125" customWidth="1"/>
    <col min="14" max="14" width="19" customWidth="1"/>
    <col min="15" max="15" width="19" customWidth="1" outlineLevel="1"/>
    <col min="16" max="16" width="27.42578125" customWidth="1" outlineLevel="1"/>
    <col min="17" max="17" width="21.140625" customWidth="1" outlineLevel="1"/>
    <col min="18" max="18" width="26" customWidth="1" outlineLevel="1"/>
    <col min="19" max="19" width="2.5703125" customWidth="1"/>
    <col min="20" max="20" width="11.85546875" customWidth="1"/>
    <col min="21" max="21" width="19.5703125" customWidth="1"/>
    <col min="22" max="22" width="18.7109375" customWidth="1"/>
    <col min="23" max="23" width="14.7109375" customWidth="1"/>
    <col min="24" max="24" width="18.140625" customWidth="1"/>
    <col min="25" max="25" width="14.140625" customWidth="1"/>
    <col min="26" max="27" width="9.28515625" customWidth="1"/>
    <col min="28" max="28" width="9.140625" customWidth="1"/>
    <col min="29" max="29" width="7.85546875" customWidth="1"/>
    <col min="30" max="33" width="9.140625" customWidth="1"/>
    <col min="34" max="34" width="8.140625" customWidth="1"/>
    <col min="35" max="35" width="9.140625" customWidth="1"/>
    <col min="36" max="36" width="20.42578125" customWidth="1"/>
  </cols>
  <sheetData>
    <row r="1" spans="1:19" ht="23.25" x14ac:dyDescent="0.25">
      <c r="E1" s="148" t="s">
        <v>1</v>
      </c>
      <c r="F1" s="148"/>
      <c r="G1" s="148"/>
      <c r="H1" s="148"/>
      <c r="I1" s="148"/>
      <c r="J1" s="148"/>
      <c r="K1" s="148"/>
      <c r="L1" s="148"/>
      <c r="M1" s="148"/>
      <c r="Q1" s="1"/>
      <c r="R1" s="1"/>
      <c r="S1" s="1"/>
    </row>
    <row r="2" spans="1:19" ht="21" x14ac:dyDescent="0.25">
      <c r="E2" s="149" t="s">
        <v>0</v>
      </c>
      <c r="F2" s="149"/>
      <c r="G2" s="149"/>
      <c r="H2" s="149"/>
      <c r="I2" s="149"/>
      <c r="J2" s="149"/>
      <c r="K2" s="149"/>
      <c r="L2" s="149"/>
      <c r="M2" s="149"/>
      <c r="Q2" s="1"/>
      <c r="R2" s="1"/>
      <c r="S2" s="1"/>
    </row>
    <row r="3" spans="1:19" x14ac:dyDescent="0.25">
      <c r="E3" s="49" t="s">
        <v>3</v>
      </c>
      <c r="F3" s="150"/>
      <c r="G3" s="150"/>
      <c r="H3" s="150"/>
      <c r="I3" s="150"/>
      <c r="J3" s="49" t="s">
        <v>4</v>
      </c>
      <c r="K3" s="150"/>
      <c r="L3" s="150"/>
      <c r="M3" s="150"/>
      <c r="Q3" s="1"/>
      <c r="R3" s="1"/>
      <c r="S3" s="1"/>
    </row>
    <row r="4" spans="1:19" x14ac:dyDescent="0.25">
      <c r="E4" s="50" t="s">
        <v>133</v>
      </c>
      <c r="F4" s="144"/>
      <c r="G4" s="144"/>
      <c r="H4" s="144"/>
      <c r="I4" s="144"/>
      <c r="J4" s="50" t="s">
        <v>5</v>
      </c>
      <c r="K4" s="144"/>
      <c r="L4" s="144"/>
      <c r="M4" s="144"/>
      <c r="Q4" s="1"/>
      <c r="R4" s="1"/>
      <c r="S4" s="1"/>
    </row>
    <row r="5" spans="1:19" x14ac:dyDescent="0.25">
      <c r="E5" s="50" t="s">
        <v>2</v>
      </c>
      <c r="F5" s="144"/>
      <c r="G5" s="144"/>
      <c r="H5" s="144"/>
      <c r="I5" s="144"/>
      <c r="J5" s="50" t="s">
        <v>6</v>
      </c>
      <c r="K5" s="144"/>
      <c r="L5" s="144"/>
      <c r="M5" s="144"/>
    </row>
    <row r="6" spans="1:19" x14ac:dyDescent="0.25">
      <c r="E6" s="51" t="s">
        <v>134</v>
      </c>
      <c r="F6" s="144"/>
      <c r="G6" s="144"/>
      <c r="H6" s="144"/>
      <c r="I6" s="144"/>
      <c r="J6" s="50" t="s">
        <v>7</v>
      </c>
      <c r="K6" s="144"/>
      <c r="L6" s="144"/>
      <c r="M6" s="144"/>
    </row>
    <row r="7" spans="1:19" x14ac:dyDescent="0.25">
      <c r="E7" s="151"/>
      <c r="F7" s="151"/>
      <c r="G7" s="151"/>
      <c r="H7" s="151"/>
      <c r="I7" s="151"/>
      <c r="J7" s="151"/>
      <c r="K7" s="151"/>
      <c r="L7" s="151"/>
      <c r="M7" s="151"/>
      <c r="N7" s="151"/>
    </row>
    <row r="8" spans="1:19" ht="15.75" thickBot="1" x14ac:dyDescent="0.3">
      <c r="A8" s="25" t="s">
        <v>53</v>
      </c>
      <c r="E8" s="145"/>
      <c r="F8" s="145"/>
      <c r="G8" s="145"/>
      <c r="H8" s="145"/>
      <c r="I8" s="145"/>
      <c r="J8" s="52" t="str">
        <f>+Heild!J8</f>
        <v>Ein. Verð</v>
      </c>
      <c r="K8" s="52" t="s">
        <v>105</v>
      </c>
      <c r="L8" s="52" t="s">
        <v>102</v>
      </c>
      <c r="M8" s="52" t="s">
        <v>101</v>
      </c>
    </row>
    <row r="9" spans="1:19" ht="2.25" customHeight="1" thickTop="1" x14ac:dyDescent="0.25">
      <c r="A9" s="25"/>
      <c r="E9" s="61"/>
      <c r="F9" s="61"/>
      <c r="G9" s="61"/>
      <c r="H9" s="61"/>
      <c r="I9" s="61"/>
      <c r="J9" s="57"/>
      <c r="K9" s="57"/>
      <c r="L9" s="57"/>
      <c r="M9" s="57"/>
    </row>
    <row r="10" spans="1:19" ht="15" customHeight="1" x14ac:dyDescent="0.25">
      <c r="A10" s="25"/>
      <c r="E10" s="16" t="s">
        <v>240</v>
      </c>
      <c r="F10" s="147" t="s">
        <v>241</v>
      </c>
      <c r="G10" s="147"/>
      <c r="H10" s="147"/>
      <c r="I10" s="147"/>
      <c r="J10" s="147"/>
      <c r="K10" s="147"/>
      <c r="L10" s="147"/>
      <c r="M10" s="147"/>
    </row>
    <row r="11" spans="1:19" ht="30" customHeight="1" x14ac:dyDescent="0.25">
      <c r="A11" s="25"/>
      <c r="E11" s="46"/>
      <c r="F11" s="141" t="s">
        <v>242</v>
      </c>
      <c r="G11" s="141"/>
      <c r="H11" s="141"/>
      <c r="I11" s="141"/>
      <c r="J11" s="40">
        <f>22213*($I$90/$I$89)</f>
        <v>37978.096758703483</v>
      </c>
      <c r="K11" s="71" t="s">
        <v>243</v>
      </c>
      <c r="L11" s="72">
        <v>0</v>
      </c>
      <c r="M11" s="4">
        <f>+L11*J11</f>
        <v>0</v>
      </c>
    </row>
    <row r="12" spans="1:19" ht="30" customHeight="1" x14ac:dyDescent="0.25">
      <c r="A12" s="25"/>
      <c r="E12" s="73"/>
      <c r="F12" s="141" t="s">
        <v>244</v>
      </c>
      <c r="G12" s="141"/>
      <c r="H12" s="141"/>
      <c r="I12" s="141"/>
      <c r="J12" s="153" t="s">
        <v>67</v>
      </c>
      <c r="K12" s="153"/>
      <c r="L12" s="9"/>
      <c r="M12" s="15">
        <v>0</v>
      </c>
    </row>
    <row r="13" spans="1:19" ht="15" customHeight="1" x14ac:dyDescent="0.25">
      <c r="A13" s="25"/>
      <c r="E13" s="165"/>
      <c r="F13" s="165"/>
      <c r="G13" s="165"/>
      <c r="H13" s="165"/>
      <c r="I13" s="165"/>
      <c r="J13" s="165"/>
      <c r="K13" s="165"/>
      <c r="L13" s="165"/>
      <c r="M13" s="165"/>
    </row>
    <row r="14" spans="1:19" ht="15" customHeight="1" x14ac:dyDescent="0.25">
      <c r="A14" s="25"/>
      <c r="E14" s="174"/>
      <c r="F14" s="174"/>
      <c r="G14" s="174"/>
      <c r="H14" s="174"/>
      <c r="I14" s="174"/>
      <c r="J14" s="174"/>
      <c r="K14" s="174"/>
      <c r="L14" s="174"/>
      <c r="M14" s="174"/>
    </row>
    <row r="15" spans="1:19" ht="25.5" customHeight="1" x14ac:dyDescent="0.25">
      <c r="A15" s="25"/>
      <c r="E15" s="16" t="s">
        <v>13</v>
      </c>
      <c r="F15" s="147" t="s">
        <v>148</v>
      </c>
      <c r="G15" s="147"/>
      <c r="H15" s="147"/>
      <c r="I15" s="147"/>
      <c r="J15" s="147"/>
      <c r="K15" s="147"/>
      <c r="L15" s="147"/>
      <c r="M15" s="147"/>
    </row>
    <row r="16" spans="1:19" x14ac:dyDescent="0.25">
      <c r="A16" s="27">
        <v>0.85</v>
      </c>
      <c r="B16" s="1"/>
      <c r="D16" s="26"/>
      <c r="E16" s="46" t="s">
        <v>108</v>
      </c>
      <c r="F16" s="141" t="s">
        <v>11</v>
      </c>
      <c r="G16" s="141"/>
      <c r="H16" s="141"/>
      <c r="I16" s="141"/>
      <c r="J16" s="40">
        <f>$I$94*A16</f>
        <v>273288.59999999998</v>
      </c>
      <c r="K16" s="9" t="s">
        <v>123</v>
      </c>
      <c r="L16" s="18">
        <v>0</v>
      </c>
      <c r="M16" s="4">
        <f>+L16*J16</f>
        <v>0</v>
      </c>
      <c r="P16" s="3"/>
    </row>
    <row r="17" spans="1:20" x14ac:dyDescent="0.25">
      <c r="A17" s="27">
        <v>0.65</v>
      </c>
      <c r="B17" s="1"/>
      <c r="D17" s="26"/>
      <c r="E17" s="46" t="s">
        <v>109</v>
      </c>
      <c r="F17" s="141" t="s">
        <v>122</v>
      </c>
      <c r="G17" s="141"/>
      <c r="H17" s="141"/>
      <c r="I17" s="141"/>
      <c r="J17" s="39">
        <f>$I$94*A17</f>
        <v>208985.4</v>
      </c>
      <c r="K17" s="9" t="s">
        <v>123</v>
      </c>
      <c r="L17" s="18">
        <v>0</v>
      </c>
      <c r="M17" s="4">
        <f>+L17*J17</f>
        <v>0</v>
      </c>
      <c r="P17" s="3"/>
      <c r="S17" s="1"/>
      <c r="T17" s="3"/>
    </row>
    <row r="18" spans="1:20" x14ac:dyDescent="0.25">
      <c r="A18" s="27">
        <v>0.5</v>
      </c>
      <c r="D18" s="26"/>
      <c r="E18" s="46" t="s">
        <v>110</v>
      </c>
      <c r="F18" s="141" t="s">
        <v>8</v>
      </c>
      <c r="G18" s="141"/>
      <c r="H18" s="141"/>
      <c r="I18" s="141"/>
      <c r="J18" s="39">
        <f>$I$94*A18</f>
        <v>160758</v>
      </c>
      <c r="K18" s="9" t="s">
        <v>123</v>
      </c>
      <c r="L18" s="18">
        <v>0</v>
      </c>
      <c r="M18" s="4">
        <f>+L18*J18</f>
        <v>0</v>
      </c>
      <c r="S18" s="1"/>
      <c r="T18" s="3"/>
    </row>
    <row r="19" spans="1:20" ht="30" customHeight="1" x14ac:dyDescent="0.25">
      <c r="D19" s="26"/>
      <c r="E19" s="46" t="s">
        <v>111</v>
      </c>
      <c r="F19" s="141" t="s">
        <v>33</v>
      </c>
      <c r="G19" s="141"/>
      <c r="H19" s="141"/>
      <c r="I19" s="141"/>
      <c r="J19" s="40"/>
      <c r="K19" s="9"/>
      <c r="L19" s="9"/>
      <c r="M19" s="4"/>
      <c r="S19" s="1"/>
      <c r="T19" s="3"/>
    </row>
    <row r="20" spans="1:20" x14ac:dyDescent="0.25">
      <c r="A20" s="27">
        <v>0.25</v>
      </c>
      <c r="D20" s="26"/>
      <c r="E20" s="46" t="s">
        <v>32</v>
      </c>
      <c r="F20" s="141" t="s">
        <v>54</v>
      </c>
      <c r="G20" s="141"/>
      <c r="H20" s="141"/>
      <c r="I20" s="141"/>
      <c r="J20" s="40">
        <f t="shared" ref="J20:J27" si="0">$I$94*A20</f>
        <v>80379</v>
      </c>
      <c r="K20" s="9" t="s">
        <v>123</v>
      </c>
      <c r="L20" s="18">
        <v>0</v>
      </c>
      <c r="M20" s="4">
        <f t="shared" ref="M20:M27" si="1">+L20*J20</f>
        <v>0</v>
      </c>
      <c r="S20" s="1"/>
      <c r="T20" s="3"/>
    </row>
    <row r="21" spans="1:20" x14ac:dyDescent="0.25">
      <c r="A21" s="27">
        <v>0.45</v>
      </c>
      <c r="D21" s="26"/>
      <c r="E21" s="46" t="s">
        <v>32</v>
      </c>
      <c r="F21" s="141" t="s">
        <v>55</v>
      </c>
      <c r="G21" s="141"/>
      <c r="H21" s="141"/>
      <c r="I21" s="141"/>
      <c r="J21" s="40">
        <f t="shared" si="0"/>
        <v>144682.20000000001</v>
      </c>
      <c r="K21" s="9" t="s">
        <v>123</v>
      </c>
      <c r="L21" s="18">
        <v>0</v>
      </c>
      <c r="M21" s="4">
        <f t="shared" si="1"/>
        <v>0</v>
      </c>
      <c r="S21" s="1"/>
      <c r="T21" s="3"/>
    </row>
    <row r="22" spans="1:20" x14ac:dyDescent="0.25">
      <c r="A22" s="27">
        <v>0.55000000000000004</v>
      </c>
      <c r="D22" s="26"/>
      <c r="E22" s="46" t="s">
        <v>32</v>
      </c>
      <c r="F22" s="141" t="s">
        <v>56</v>
      </c>
      <c r="G22" s="141"/>
      <c r="H22" s="141"/>
      <c r="I22" s="141"/>
      <c r="J22" s="40">
        <f t="shared" si="0"/>
        <v>176833.80000000002</v>
      </c>
      <c r="K22" s="9" t="s">
        <v>123</v>
      </c>
      <c r="L22" s="18">
        <v>0</v>
      </c>
      <c r="M22" s="4">
        <f t="shared" si="1"/>
        <v>0</v>
      </c>
    </row>
    <row r="23" spans="1:20" x14ac:dyDescent="0.25">
      <c r="A23" s="27">
        <v>0.1</v>
      </c>
      <c r="D23" s="26"/>
      <c r="E23" s="46" t="s">
        <v>112</v>
      </c>
      <c r="F23" s="141" t="s">
        <v>157</v>
      </c>
      <c r="G23" s="141"/>
      <c r="H23" s="141"/>
      <c r="I23" s="141"/>
      <c r="J23" s="40">
        <f t="shared" si="0"/>
        <v>32151.600000000002</v>
      </c>
      <c r="K23" s="9" t="s">
        <v>123</v>
      </c>
      <c r="L23" s="18">
        <v>0</v>
      </c>
      <c r="M23" s="4">
        <f t="shared" si="1"/>
        <v>0</v>
      </c>
    </row>
    <row r="24" spans="1:20" x14ac:dyDescent="0.25">
      <c r="A24" s="27">
        <v>0.25</v>
      </c>
      <c r="D24" s="26"/>
      <c r="E24" s="46" t="s">
        <v>158</v>
      </c>
      <c r="F24" s="141" t="s">
        <v>159</v>
      </c>
      <c r="G24" s="141"/>
      <c r="H24" s="141"/>
      <c r="I24" s="141"/>
      <c r="J24" s="40">
        <f t="shared" si="0"/>
        <v>80379</v>
      </c>
      <c r="K24" s="9" t="s">
        <v>123</v>
      </c>
      <c r="L24" s="18">
        <v>0</v>
      </c>
      <c r="M24" s="4">
        <f t="shared" si="1"/>
        <v>0</v>
      </c>
    </row>
    <row r="25" spans="1:20" x14ac:dyDescent="0.25">
      <c r="A25" s="27">
        <v>0.45</v>
      </c>
      <c r="D25" s="26"/>
      <c r="E25" s="46" t="s">
        <v>160</v>
      </c>
      <c r="F25" s="141" t="s">
        <v>12</v>
      </c>
      <c r="G25" s="141"/>
      <c r="H25" s="141"/>
      <c r="I25" s="141"/>
      <c r="J25" s="40">
        <f t="shared" si="0"/>
        <v>144682.20000000001</v>
      </c>
      <c r="K25" s="9" t="s">
        <v>123</v>
      </c>
      <c r="L25" s="18">
        <v>0</v>
      </c>
      <c r="M25" s="4">
        <f t="shared" si="1"/>
        <v>0</v>
      </c>
    </row>
    <row r="26" spans="1:20" x14ac:dyDescent="0.25">
      <c r="A26" s="27">
        <v>0.5</v>
      </c>
      <c r="D26" s="26"/>
      <c r="E26" s="46" t="s">
        <v>161</v>
      </c>
      <c r="F26" s="141" t="s">
        <v>34</v>
      </c>
      <c r="G26" s="141"/>
      <c r="H26" s="141"/>
      <c r="I26" s="141"/>
      <c r="J26" s="40">
        <f t="shared" si="0"/>
        <v>160758</v>
      </c>
      <c r="K26" s="9" t="s">
        <v>123</v>
      </c>
      <c r="L26" s="18">
        <v>0</v>
      </c>
      <c r="M26" s="4">
        <f t="shared" si="1"/>
        <v>0</v>
      </c>
    </row>
    <row r="27" spans="1:20" x14ac:dyDescent="0.25">
      <c r="A27" s="27">
        <v>0.65</v>
      </c>
      <c r="D27" s="26"/>
      <c r="E27" s="46" t="s">
        <v>162</v>
      </c>
      <c r="F27" s="141" t="s">
        <v>121</v>
      </c>
      <c r="G27" s="141"/>
      <c r="H27" s="141"/>
      <c r="I27" s="141"/>
      <c r="J27" s="40">
        <f t="shared" si="0"/>
        <v>208985.4</v>
      </c>
      <c r="K27" s="9" t="s">
        <v>123</v>
      </c>
      <c r="L27" s="18">
        <v>0</v>
      </c>
      <c r="M27" s="4">
        <f t="shared" si="1"/>
        <v>0</v>
      </c>
    </row>
    <row r="28" spans="1:20" collapsed="1" x14ac:dyDescent="0.25">
      <c r="A28" s="27"/>
      <c r="D28" s="26"/>
      <c r="E28" s="143"/>
      <c r="F28" s="143"/>
      <c r="G28" s="143"/>
      <c r="H28" s="143"/>
      <c r="I28" s="143"/>
      <c r="J28" s="143"/>
      <c r="K28" s="143"/>
      <c r="L28" s="143"/>
      <c r="M28" s="143"/>
    </row>
    <row r="29" spans="1:20" x14ac:dyDescent="0.25">
      <c r="A29" s="27"/>
      <c r="D29" s="26"/>
      <c r="E29" s="137" t="s">
        <v>354</v>
      </c>
      <c r="F29" s="137"/>
      <c r="G29" s="137"/>
      <c r="H29" s="137"/>
      <c r="I29" s="137"/>
      <c r="J29" s="137"/>
      <c r="K29" s="137"/>
      <c r="L29" s="137"/>
      <c r="M29" s="5">
        <f>SUM(M16:M18)+SUM(M20:M27)</f>
        <v>0</v>
      </c>
    </row>
    <row r="30" spans="1:20" x14ac:dyDescent="0.25">
      <c r="A30" s="27"/>
      <c r="D30" s="26"/>
      <c r="E30" s="179"/>
      <c r="F30" s="179"/>
      <c r="G30" s="179"/>
      <c r="H30" s="179"/>
      <c r="I30" s="179"/>
      <c r="J30" s="179"/>
      <c r="K30" s="179"/>
      <c r="L30" s="179"/>
      <c r="M30" s="179"/>
    </row>
    <row r="31" spans="1:20" x14ac:dyDescent="0.25">
      <c r="E31" s="157"/>
      <c r="F31" s="157"/>
      <c r="G31" s="157"/>
      <c r="H31" s="157"/>
      <c r="I31" s="157"/>
      <c r="J31" s="157"/>
      <c r="K31" s="157"/>
      <c r="L31" s="157"/>
      <c r="M31" s="157"/>
    </row>
    <row r="32" spans="1:20" x14ac:dyDescent="0.25">
      <c r="D32" s="26"/>
      <c r="E32" s="7" t="s">
        <v>150</v>
      </c>
      <c r="F32" s="154" t="s">
        <v>57</v>
      </c>
      <c r="G32" s="154"/>
      <c r="H32" s="154"/>
      <c r="I32" s="154"/>
      <c r="J32" s="154"/>
      <c r="K32" s="154"/>
      <c r="L32" s="154"/>
      <c r="M32" s="154"/>
    </row>
    <row r="33" spans="1:18" ht="45" customHeight="1" x14ac:dyDescent="0.25">
      <c r="A33" s="29">
        <v>0.75</v>
      </c>
      <c r="D33" s="26"/>
      <c r="E33" s="46" t="s">
        <v>113</v>
      </c>
      <c r="F33" s="141" t="s">
        <v>58</v>
      </c>
      <c r="G33" s="141"/>
      <c r="H33" s="141"/>
      <c r="I33" s="141"/>
      <c r="J33" s="38">
        <f>$I$94*A33</f>
        <v>241137</v>
      </c>
      <c r="K33" s="9" t="s">
        <v>123</v>
      </c>
      <c r="L33" s="18">
        <v>0</v>
      </c>
      <c r="M33" s="4">
        <f>+L33*J33</f>
        <v>0</v>
      </c>
    </row>
    <row r="34" spans="1:18" x14ac:dyDescent="0.25">
      <c r="A34" s="27">
        <v>0.4</v>
      </c>
      <c r="D34" s="26"/>
      <c r="E34" s="46" t="s">
        <v>114</v>
      </c>
      <c r="F34" s="140" t="s">
        <v>59</v>
      </c>
      <c r="G34" s="140"/>
      <c r="H34" s="140"/>
      <c r="I34" s="140"/>
      <c r="J34" s="38">
        <f>$I$94*A34</f>
        <v>128606.40000000001</v>
      </c>
      <c r="K34" s="9" t="s">
        <v>123</v>
      </c>
      <c r="L34" s="18">
        <v>0</v>
      </c>
      <c r="M34" s="4">
        <f>+L34*J34</f>
        <v>0</v>
      </c>
    </row>
    <row r="35" spans="1:18" ht="30" customHeight="1" x14ac:dyDescent="0.25">
      <c r="A35" s="27">
        <v>0.15</v>
      </c>
      <c r="D35" s="26"/>
      <c r="E35" s="46" t="s">
        <v>115</v>
      </c>
      <c r="F35" s="141" t="s">
        <v>60</v>
      </c>
      <c r="G35" s="141"/>
      <c r="H35" s="141"/>
      <c r="I35" s="141"/>
      <c r="J35" s="38">
        <f>$I$94*A35</f>
        <v>48227.4</v>
      </c>
      <c r="K35" s="9" t="s">
        <v>123</v>
      </c>
      <c r="L35" s="18">
        <v>0</v>
      </c>
      <c r="M35" s="4">
        <f>+L35*J35</f>
        <v>0</v>
      </c>
    </row>
    <row r="36" spans="1:18" ht="18.75" customHeight="1" x14ac:dyDescent="0.25">
      <c r="A36" s="27"/>
      <c r="D36" s="26"/>
      <c r="E36" s="143"/>
      <c r="F36" s="143"/>
      <c r="G36" s="143"/>
      <c r="H36" s="143"/>
      <c r="I36" s="143"/>
      <c r="J36" s="143"/>
      <c r="K36" s="143"/>
      <c r="L36" s="143"/>
      <c r="M36" s="143"/>
    </row>
    <row r="37" spans="1:18" ht="21" customHeight="1" collapsed="1" x14ac:dyDescent="0.25">
      <c r="A37" s="27"/>
      <c r="D37" s="26"/>
      <c r="E37" s="137" t="s">
        <v>353</v>
      </c>
      <c r="F37" s="137"/>
      <c r="G37" s="137"/>
      <c r="H37" s="137"/>
      <c r="I37" s="137"/>
      <c r="J37" s="137"/>
      <c r="K37" s="137"/>
      <c r="L37" s="137"/>
      <c r="M37" s="4">
        <f>SUM(M33:M35)</f>
        <v>0</v>
      </c>
    </row>
    <row r="38" spans="1:18" x14ac:dyDescent="0.25">
      <c r="D38" s="26"/>
      <c r="E38" s="177"/>
      <c r="F38" s="177"/>
      <c r="G38" s="177"/>
      <c r="H38" s="177"/>
      <c r="I38" s="177"/>
      <c r="J38" s="177"/>
      <c r="K38" s="177"/>
      <c r="L38" s="177"/>
      <c r="M38" s="177"/>
    </row>
    <row r="39" spans="1:18" x14ac:dyDescent="0.25">
      <c r="D39" s="26"/>
      <c r="E39" s="178"/>
      <c r="F39" s="178"/>
      <c r="G39" s="178"/>
      <c r="H39" s="178"/>
      <c r="I39" s="178"/>
      <c r="J39" s="178"/>
      <c r="K39" s="178"/>
      <c r="L39" s="178"/>
      <c r="M39" s="178"/>
    </row>
    <row r="40" spans="1:18" x14ac:dyDescent="0.25">
      <c r="D40" s="26"/>
      <c r="E40" s="16" t="s">
        <v>117</v>
      </c>
      <c r="F40" s="136" t="s">
        <v>132</v>
      </c>
      <c r="G40" s="136"/>
      <c r="H40" s="136"/>
      <c r="I40" s="136"/>
      <c r="J40" s="136"/>
      <c r="K40" s="136"/>
      <c r="L40" s="136"/>
      <c r="M40" s="136"/>
    </row>
    <row r="41" spans="1:18" ht="17.25" x14ac:dyDescent="0.25">
      <c r="B41" s="28"/>
      <c r="D41" s="26"/>
      <c r="E41" s="16"/>
      <c r="F41" s="69"/>
      <c r="G41" s="69"/>
      <c r="H41" s="69"/>
      <c r="I41" s="54" t="s">
        <v>128</v>
      </c>
      <c r="K41" s="69"/>
      <c r="L41" s="54" t="s">
        <v>129</v>
      </c>
      <c r="M41" s="69"/>
    </row>
    <row r="42" spans="1:18" x14ac:dyDescent="0.25">
      <c r="A42" s="17">
        <v>7.0000000000000007E-2</v>
      </c>
      <c r="B42" s="36"/>
      <c r="D42" s="36"/>
      <c r="E42" s="46" t="s">
        <v>118</v>
      </c>
      <c r="F42" s="139" t="s">
        <v>11</v>
      </c>
      <c r="G42" s="139"/>
      <c r="H42" s="170"/>
      <c r="I42" s="55">
        <v>0</v>
      </c>
      <c r="J42" s="53">
        <f>+A42*$I$94</f>
        <v>22506.120000000003</v>
      </c>
      <c r="K42" s="9"/>
      <c r="L42" s="56">
        <v>0</v>
      </c>
      <c r="M42" s="4">
        <f>L42*I42*J42</f>
        <v>0</v>
      </c>
      <c r="O42" s="67"/>
      <c r="P42" s="68"/>
      <c r="Q42" s="67"/>
      <c r="R42" s="68"/>
    </row>
    <row r="43" spans="1:18" x14ac:dyDescent="0.25">
      <c r="A43" s="17">
        <v>7.0000000000000007E-2</v>
      </c>
      <c r="B43" s="36"/>
      <c r="D43" s="36"/>
      <c r="E43" s="46" t="s">
        <v>119</v>
      </c>
      <c r="F43" s="139" t="s">
        <v>249</v>
      </c>
      <c r="G43" s="139"/>
      <c r="H43" s="170"/>
      <c r="I43" s="55">
        <v>0</v>
      </c>
      <c r="J43" s="53">
        <f>+A43*$I$94</f>
        <v>22506.120000000003</v>
      </c>
      <c r="K43" s="9"/>
      <c r="L43" s="56">
        <v>0</v>
      </c>
      <c r="M43" s="4">
        <f>+L43*I43*J43</f>
        <v>0</v>
      </c>
      <c r="O43" s="67"/>
      <c r="P43" s="68"/>
      <c r="Q43" s="67"/>
      <c r="R43" s="68"/>
    </row>
    <row r="44" spans="1:18" x14ac:dyDescent="0.25">
      <c r="A44" s="17">
        <v>5.5E-2</v>
      </c>
      <c r="B44" s="36"/>
      <c r="D44" s="36"/>
      <c r="E44" s="46" t="s">
        <v>227</v>
      </c>
      <c r="F44" s="139" t="s">
        <v>250</v>
      </c>
      <c r="G44" s="139"/>
      <c r="H44" s="170"/>
      <c r="I44" s="55">
        <v>0</v>
      </c>
      <c r="J44" s="53">
        <f>+A44*$I$94</f>
        <v>17683.38</v>
      </c>
      <c r="K44" s="9"/>
      <c r="L44" s="56">
        <v>0</v>
      </c>
      <c r="M44" s="4">
        <f>+L44*J44*I44</f>
        <v>0</v>
      </c>
      <c r="O44" s="67"/>
      <c r="P44" s="68"/>
      <c r="Q44" s="67"/>
      <c r="R44" s="68"/>
    </row>
    <row r="45" spans="1:18" x14ac:dyDescent="0.25">
      <c r="A45" s="17"/>
      <c r="B45" s="36"/>
      <c r="D45" s="36"/>
      <c r="E45" s="46"/>
      <c r="F45" s="46"/>
      <c r="G45" s="46"/>
      <c r="H45" s="46"/>
      <c r="I45" s="46"/>
      <c r="J45" s="46"/>
      <c r="K45" s="46"/>
      <c r="L45" s="46"/>
      <c r="M45" s="46"/>
      <c r="O45" s="67"/>
      <c r="P45" s="68"/>
      <c r="Q45" s="67"/>
      <c r="R45" s="68"/>
    </row>
    <row r="46" spans="1:18" x14ac:dyDescent="0.25">
      <c r="A46" s="17">
        <v>0.05</v>
      </c>
      <c r="D46" s="10"/>
      <c r="E46" s="46" t="s">
        <v>228</v>
      </c>
      <c r="F46" s="139" t="s">
        <v>251</v>
      </c>
      <c r="G46" s="139"/>
      <c r="H46" s="139"/>
      <c r="I46" s="55">
        <v>0</v>
      </c>
      <c r="J46" s="53">
        <f>+A46*$I$94</f>
        <v>16075.800000000001</v>
      </c>
      <c r="K46" s="9"/>
      <c r="L46" s="56">
        <v>0</v>
      </c>
      <c r="M46" s="4">
        <f>+L46*J46*I46</f>
        <v>0</v>
      </c>
    </row>
    <row r="47" spans="1:18" ht="30" customHeight="1" x14ac:dyDescent="0.25">
      <c r="A47" s="17">
        <v>0.03</v>
      </c>
      <c r="D47" s="26"/>
      <c r="E47" s="46" t="s">
        <v>229</v>
      </c>
      <c r="F47" s="139" t="s">
        <v>252</v>
      </c>
      <c r="G47" s="139"/>
      <c r="H47" s="139"/>
      <c r="I47" s="55">
        <v>0</v>
      </c>
      <c r="J47" s="53">
        <f>+A47*$I$94</f>
        <v>9645.48</v>
      </c>
      <c r="K47" s="9"/>
      <c r="L47" s="56">
        <v>0</v>
      </c>
      <c r="M47" s="4">
        <f>+L47*J47*I47</f>
        <v>0</v>
      </c>
    </row>
    <row r="48" spans="1:18" x14ac:dyDescent="0.25">
      <c r="A48" s="17">
        <v>0.02</v>
      </c>
      <c r="D48" s="26"/>
      <c r="E48" s="46" t="s">
        <v>230</v>
      </c>
      <c r="F48" s="139" t="s">
        <v>253</v>
      </c>
      <c r="G48" s="139"/>
      <c r="H48" s="139"/>
      <c r="I48" s="55">
        <v>0</v>
      </c>
      <c r="J48" s="53">
        <f>+A48*$I$94</f>
        <v>6430.32</v>
      </c>
      <c r="K48" s="9"/>
      <c r="L48" s="56">
        <v>0</v>
      </c>
      <c r="M48" s="4">
        <f>+L48*J48*I48</f>
        <v>0</v>
      </c>
    </row>
    <row r="49" spans="1:13" x14ac:dyDescent="0.25">
      <c r="A49" s="37"/>
      <c r="D49" s="26"/>
      <c r="E49" s="46"/>
      <c r="F49" s="46"/>
      <c r="G49" s="46"/>
      <c r="H49" s="46"/>
      <c r="I49" s="46"/>
      <c r="J49" s="46"/>
      <c r="K49" s="46"/>
      <c r="L49" s="46"/>
      <c r="M49" s="46"/>
    </row>
    <row r="50" spans="1:13" x14ac:dyDescent="0.25">
      <c r="D50" s="26"/>
      <c r="E50" s="137" t="s">
        <v>346</v>
      </c>
      <c r="F50" s="137"/>
      <c r="G50" s="137"/>
      <c r="H50" s="137"/>
      <c r="I50" s="137"/>
      <c r="J50" s="137"/>
      <c r="K50" s="137"/>
      <c r="L50" s="137"/>
      <c r="M50" s="63">
        <f>+M42+M43+M44+M46+M47+M48</f>
        <v>0</v>
      </c>
    </row>
    <row r="51" spans="1:13" x14ac:dyDescent="0.25">
      <c r="C51" s="26"/>
      <c r="E51" s="175"/>
      <c r="F51" s="175"/>
      <c r="G51" s="175"/>
      <c r="H51" s="175"/>
      <c r="I51" s="175"/>
      <c r="J51" s="175"/>
      <c r="K51" s="175"/>
      <c r="L51" s="175"/>
      <c r="M51" s="175"/>
    </row>
    <row r="52" spans="1:13" x14ac:dyDescent="0.25">
      <c r="C52" s="26"/>
      <c r="E52" s="176"/>
      <c r="F52" s="176"/>
      <c r="G52" s="176"/>
      <c r="H52" s="176"/>
      <c r="I52" s="176"/>
      <c r="J52" s="176"/>
      <c r="K52" s="176"/>
      <c r="L52" s="176"/>
      <c r="M52" s="176"/>
    </row>
    <row r="53" spans="1:13" x14ac:dyDescent="0.25">
      <c r="C53" s="26"/>
      <c r="E53" s="16" t="s">
        <v>234</v>
      </c>
      <c r="F53" s="136" t="s">
        <v>10</v>
      </c>
      <c r="G53" s="136"/>
      <c r="H53" s="136"/>
      <c r="I53" s="136"/>
      <c r="J53" s="136"/>
      <c r="K53" s="136"/>
      <c r="L53" s="136"/>
      <c r="M53" s="136"/>
    </row>
    <row r="54" spans="1:13" x14ac:dyDescent="0.25">
      <c r="C54" s="26"/>
      <c r="E54" s="46" t="s">
        <v>235</v>
      </c>
      <c r="F54" s="141" t="s">
        <v>103</v>
      </c>
      <c r="G54" s="141"/>
      <c r="H54" s="54"/>
      <c r="I54" s="48" t="s">
        <v>9</v>
      </c>
      <c r="J54" s="39">
        <f>$I$90/$I$88*30000</f>
        <v>73085.870680807391</v>
      </c>
      <c r="K54" s="9" t="s">
        <v>123</v>
      </c>
      <c r="L54" s="18">
        <v>0</v>
      </c>
      <c r="M54" s="4">
        <f>+J54*L54</f>
        <v>0</v>
      </c>
    </row>
    <row r="55" spans="1:13" ht="17.25" x14ac:dyDescent="0.25">
      <c r="C55" s="26"/>
      <c r="E55" s="46"/>
      <c r="F55" s="156"/>
      <c r="G55" s="156"/>
      <c r="H55" s="54"/>
      <c r="I55" s="48" t="s">
        <v>152</v>
      </c>
      <c r="J55" s="45">
        <f>102*$I$90/$I$88</f>
        <v>248.49196031474511</v>
      </c>
      <c r="K55" s="9" t="s">
        <v>124</v>
      </c>
      <c r="L55" s="20">
        <v>0</v>
      </c>
      <c r="M55" s="4">
        <f>IF(L55&lt;701,0,(L55-700)*J55)</f>
        <v>0</v>
      </c>
    </row>
    <row r="56" spans="1:13" x14ac:dyDescent="0.25">
      <c r="C56" s="26"/>
      <c r="E56" s="46"/>
      <c r="F56" s="75"/>
      <c r="G56" s="75"/>
      <c r="H56" s="54"/>
      <c r="I56" s="48"/>
      <c r="J56" s="45"/>
      <c r="K56" s="9"/>
      <c r="L56" s="20"/>
      <c r="M56" s="4"/>
    </row>
    <row r="57" spans="1:13" collapsed="1" x14ac:dyDescent="0.25">
      <c r="C57" s="26"/>
      <c r="E57" s="46" t="s">
        <v>236</v>
      </c>
      <c r="F57" s="141" t="s">
        <v>104</v>
      </c>
      <c r="G57" s="141"/>
      <c r="H57" s="54"/>
      <c r="I57" s="48" t="s">
        <v>9</v>
      </c>
      <c r="J57" s="38">
        <f>$I$90/$I$88*30000</f>
        <v>73085.870680807391</v>
      </c>
      <c r="K57" s="9" t="s">
        <v>123</v>
      </c>
      <c r="L57" s="18">
        <v>0</v>
      </c>
      <c r="M57" s="4">
        <f>+J57*L57</f>
        <v>0</v>
      </c>
    </row>
    <row r="58" spans="1:13" ht="17.25" x14ac:dyDescent="0.25">
      <c r="C58" s="26"/>
      <c r="E58" s="46"/>
      <c r="F58" s="156"/>
      <c r="G58" s="156"/>
      <c r="H58" s="54"/>
      <c r="I58" s="48" t="s">
        <v>245</v>
      </c>
      <c r="J58" s="45">
        <f>102*$I$90/$I$88</f>
        <v>248.49196031474511</v>
      </c>
      <c r="K58" s="9" t="s">
        <v>124</v>
      </c>
      <c r="L58" s="20">
        <v>0</v>
      </c>
      <c r="M58" s="4">
        <f>IF(L58&lt;1001,0,(L58-1000)*J58)</f>
        <v>0</v>
      </c>
    </row>
    <row r="59" spans="1:13" x14ac:dyDescent="0.25">
      <c r="C59" s="26"/>
      <c r="E59" s="165"/>
      <c r="F59" s="165"/>
      <c r="G59" s="165"/>
      <c r="H59" s="165"/>
      <c r="I59" s="165"/>
      <c r="J59" s="165"/>
      <c r="K59" s="165"/>
      <c r="L59" s="165"/>
      <c r="M59" s="165"/>
    </row>
    <row r="60" spans="1:13" x14ac:dyDescent="0.25">
      <c r="C60" s="26"/>
      <c r="E60" s="166" t="s">
        <v>355</v>
      </c>
      <c r="F60" s="166"/>
      <c r="G60" s="166"/>
      <c r="H60" s="166"/>
      <c r="I60" s="166"/>
      <c r="J60" s="166"/>
      <c r="K60" s="166"/>
      <c r="L60" s="166"/>
      <c r="M60" s="63">
        <f>+M58+M57+M55+M54</f>
        <v>0</v>
      </c>
    </row>
    <row r="61" spans="1:13" x14ac:dyDescent="0.25">
      <c r="C61" s="26"/>
      <c r="E61" s="157"/>
      <c r="F61" s="157"/>
      <c r="G61" s="157"/>
      <c r="H61" s="157"/>
      <c r="I61" s="157"/>
      <c r="J61" s="157"/>
      <c r="K61" s="157"/>
      <c r="L61" s="157"/>
      <c r="M61" s="157"/>
    </row>
    <row r="62" spans="1:13" collapsed="1" x14ac:dyDescent="0.25">
      <c r="C62" s="26"/>
      <c r="E62" s="16" t="s">
        <v>237</v>
      </c>
      <c r="F62" s="136" t="s">
        <v>264</v>
      </c>
      <c r="G62" s="136"/>
      <c r="H62" s="136"/>
      <c r="I62" s="136"/>
      <c r="J62" s="136"/>
      <c r="K62" s="136"/>
      <c r="L62" s="136"/>
      <c r="M62" s="136"/>
    </row>
    <row r="63" spans="1:13" ht="15" customHeight="1" x14ac:dyDescent="0.25">
      <c r="C63" s="26"/>
      <c r="E63" s="46" t="s">
        <v>238</v>
      </c>
      <c r="F63" s="141" t="s">
        <v>265</v>
      </c>
      <c r="G63" s="141"/>
      <c r="H63" s="54"/>
      <c r="I63" s="48" t="s">
        <v>266</v>
      </c>
      <c r="J63" s="78">
        <v>0</v>
      </c>
      <c r="K63" s="9"/>
      <c r="L63" s="54"/>
      <c r="M63" s="4">
        <f>+J63*0.0015</f>
        <v>0</v>
      </c>
    </row>
    <row r="64" spans="1:13" x14ac:dyDescent="0.25">
      <c r="C64" s="26"/>
      <c r="E64" s="165"/>
      <c r="F64" s="165"/>
      <c r="G64" s="165"/>
      <c r="H64" s="165"/>
      <c r="I64" s="165"/>
      <c r="J64" s="165"/>
      <c r="K64" s="165"/>
      <c r="L64" s="165"/>
      <c r="M64" s="165"/>
    </row>
    <row r="65" spans="3:13" x14ac:dyDescent="0.25">
      <c r="C65" s="26"/>
      <c r="E65" s="166" t="s">
        <v>314</v>
      </c>
      <c r="F65" s="166"/>
      <c r="G65" s="166"/>
      <c r="H65" s="166"/>
      <c r="I65" s="166"/>
      <c r="J65" s="166"/>
      <c r="K65" s="166"/>
      <c r="L65" s="166"/>
      <c r="M65" s="63">
        <f>+M63</f>
        <v>0</v>
      </c>
    </row>
    <row r="66" spans="3:13" x14ac:dyDescent="0.25">
      <c r="C66" s="26"/>
      <c r="E66" s="157"/>
      <c r="F66" s="157"/>
      <c r="G66" s="157"/>
      <c r="H66" s="157"/>
      <c r="I66" s="157"/>
      <c r="J66" s="157"/>
      <c r="K66" s="157"/>
      <c r="L66" s="157"/>
      <c r="M66" s="157"/>
    </row>
    <row r="67" spans="3:13" x14ac:dyDescent="0.25">
      <c r="C67" s="26"/>
      <c r="E67" s="16" t="s">
        <v>315</v>
      </c>
      <c r="F67" s="136" t="s">
        <v>267</v>
      </c>
      <c r="G67" s="136"/>
      <c r="H67" s="136"/>
      <c r="I67" s="136"/>
      <c r="J67" s="136"/>
      <c r="K67" s="136"/>
      <c r="L67" s="136"/>
      <c r="M67" s="136"/>
    </row>
    <row r="68" spans="3:13" ht="45" x14ac:dyDescent="0.25">
      <c r="C68" s="26"/>
      <c r="F68" s="167" t="s">
        <v>269</v>
      </c>
      <c r="G68" s="167"/>
      <c r="H68" s="167"/>
      <c r="I68" s="91" t="s">
        <v>271</v>
      </c>
      <c r="J68" s="91" t="s">
        <v>270</v>
      </c>
      <c r="K68" s="62"/>
      <c r="L68" s="91" t="s">
        <v>282</v>
      </c>
      <c r="M68" s="62"/>
    </row>
    <row r="69" spans="3:13" x14ac:dyDescent="0.25">
      <c r="C69" s="26">
        <v>182973</v>
      </c>
      <c r="D69">
        <v>1830</v>
      </c>
      <c r="E69" s="46" t="s">
        <v>316</v>
      </c>
      <c r="F69" s="167" t="s">
        <v>272</v>
      </c>
      <c r="G69" s="167"/>
      <c r="H69" s="167"/>
      <c r="I69" s="87">
        <f t="shared" ref="I69:J76" si="2">$M$89/$M$88*C69</f>
        <v>251883.29367777021</v>
      </c>
      <c r="J69" s="87">
        <f t="shared" si="2"/>
        <v>2519.2046227056426</v>
      </c>
      <c r="K69" s="9"/>
      <c r="L69" s="81">
        <v>0</v>
      </c>
      <c r="M69" s="87">
        <f t="shared" ref="M69:M76" si="3">IF(L69=0,0,IF(L69&lt;35.01,I69,I69+J69*(L69-35)))</f>
        <v>0</v>
      </c>
    </row>
    <row r="70" spans="3:13" x14ac:dyDescent="0.25">
      <c r="C70" s="26">
        <v>236755</v>
      </c>
      <c r="D70">
        <v>2367</v>
      </c>
      <c r="E70" s="46" t="s">
        <v>317</v>
      </c>
      <c r="F70" s="167" t="s">
        <v>273</v>
      </c>
      <c r="G70" s="167"/>
      <c r="H70" s="167"/>
      <c r="I70" s="87">
        <f t="shared" si="2"/>
        <v>325920.37729435758</v>
      </c>
      <c r="J70" s="87">
        <f t="shared" si="2"/>
        <v>3258.446634942216</v>
      </c>
      <c r="K70" s="9"/>
      <c r="L70" s="81">
        <v>0</v>
      </c>
      <c r="M70" s="87">
        <f t="shared" si="3"/>
        <v>0</v>
      </c>
    </row>
    <row r="71" spans="3:13" x14ac:dyDescent="0.25">
      <c r="C71" s="26">
        <v>306489</v>
      </c>
      <c r="D71">
        <v>3065</v>
      </c>
      <c r="E71" s="46" t="s">
        <v>318</v>
      </c>
      <c r="F71" s="167" t="s">
        <v>274</v>
      </c>
      <c r="G71" s="167"/>
      <c r="H71" s="167"/>
      <c r="I71" s="87">
        <f t="shared" si="2"/>
        <v>421917.21617946977</v>
      </c>
      <c r="J71" s="87">
        <f t="shared" si="2"/>
        <v>4219.3235893949695</v>
      </c>
      <c r="K71" s="9"/>
      <c r="L71" s="81">
        <v>0</v>
      </c>
      <c r="M71" s="87">
        <f t="shared" si="3"/>
        <v>0</v>
      </c>
    </row>
    <row r="72" spans="3:13" x14ac:dyDescent="0.25">
      <c r="C72" s="26">
        <v>441989</v>
      </c>
      <c r="D72">
        <v>4420</v>
      </c>
      <c r="E72" s="46" t="s">
        <v>319</v>
      </c>
      <c r="F72" s="167" t="s">
        <v>275</v>
      </c>
      <c r="G72" s="167"/>
      <c r="H72" s="167"/>
      <c r="I72" s="87">
        <f t="shared" si="2"/>
        <v>608448.48742352147</v>
      </c>
      <c r="J72" s="87">
        <f t="shared" si="2"/>
        <v>6084.6363018354859</v>
      </c>
      <c r="K72" s="9"/>
      <c r="L72" s="81">
        <v>0</v>
      </c>
      <c r="M72" s="87">
        <f t="shared" si="3"/>
        <v>0</v>
      </c>
    </row>
    <row r="73" spans="3:13" x14ac:dyDescent="0.25">
      <c r="C73" s="26">
        <v>590556</v>
      </c>
      <c r="D73">
        <v>5906</v>
      </c>
      <c r="E73" s="46" t="s">
        <v>320</v>
      </c>
      <c r="F73" s="167" t="s">
        <v>276</v>
      </c>
      <c r="G73" s="167"/>
      <c r="H73" s="167"/>
      <c r="I73" s="87">
        <f t="shared" si="2"/>
        <v>812967.98096532968</v>
      </c>
      <c r="J73" s="87">
        <f t="shared" si="2"/>
        <v>8130.2855200543845</v>
      </c>
      <c r="K73" s="9"/>
      <c r="L73" s="81">
        <v>0</v>
      </c>
      <c r="M73" s="87">
        <f t="shared" si="3"/>
        <v>0</v>
      </c>
    </row>
    <row r="74" spans="3:13" x14ac:dyDescent="0.25">
      <c r="C74" s="26">
        <v>859478</v>
      </c>
      <c r="D74">
        <v>8595</v>
      </c>
      <c r="E74" s="46" t="s">
        <v>321</v>
      </c>
      <c r="F74" s="167" t="s">
        <v>277</v>
      </c>
      <c r="G74" s="167"/>
      <c r="H74" s="167"/>
      <c r="I74" s="87">
        <f t="shared" si="2"/>
        <v>1183169.9184228417</v>
      </c>
      <c r="J74" s="87">
        <f t="shared" si="2"/>
        <v>11832.00203942896</v>
      </c>
      <c r="K74" s="9"/>
      <c r="L74" s="81">
        <v>0</v>
      </c>
      <c r="M74" s="87">
        <f t="shared" si="3"/>
        <v>0</v>
      </c>
    </row>
    <row r="75" spans="3:13" x14ac:dyDescent="0.25">
      <c r="C75" s="26">
        <v>959513</v>
      </c>
      <c r="D75">
        <v>9595</v>
      </c>
      <c r="E75" s="46" t="s">
        <v>322</v>
      </c>
      <c r="F75" s="167" t="s">
        <v>278</v>
      </c>
      <c r="G75" s="167"/>
      <c r="H75" s="167"/>
      <c r="I75" s="87">
        <f t="shared" si="2"/>
        <v>1320879.554724677</v>
      </c>
      <c r="J75" s="87">
        <f t="shared" si="2"/>
        <v>13208.61658735554</v>
      </c>
      <c r="K75" s="9"/>
      <c r="L75" s="81">
        <v>0</v>
      </c>
      <c r="M75" s="87">
        <f t="shared" si="3"/>
        <v>0</v>
      </c>
    </row>
    <row r="76" spans="3:13" x14ac:dyDescent="0.25">
      <c r="C76" s="26">
        <v>1123811</v>
      </c>
      <c r="D76">
        <v>11238</v>
      </c>
      <c r="E76" s="46" t="s">
        <v>323</v>
      </c>
      <c r="F76" s="167" t="s">
        <v>279</v>
      </c>
      <c r="G76" s="167"/>
      <c r="H76" s="167"/>
      <c r="I76" s="87">
        <f t="shared" si="2"/>
        <v>1547054.5717199184</v>
      </c>
      <c r="J76" s="87">
        <f t="shared" si="2"/>
        <v>15470.394289598913</v>
      </c>
      <c r="K76" s="9"/>
      <c r="L76" s="81">
        <v>0</v>
      </c>
      <c r="M76" s="87">
        <f t="shared" si="3"/>
        <v>0</v>
      </c>
    </row>
    <row r="77" spans="3:13" x14ac:dyDescent="0.25">
      <c r="C77" s="26"/>
      <c r="E77" s="46"/>
      <c r="F77" s="76"/>
      <c r="G77" s="76"/>
      <c r="H77" s="82"/>
      <c r="I77" s="82"/>
      <c r="J77" s="82"/>
      <c r="K77" s="83"/>
      <c r="L77" s="84"/>
      <c r="M77" s="88"/>
    </row>
    <row r="78" spans="3:13" collapsed="1" x14ac:dyDescent="0.25">
      <c r="C78" s="26">
        <v>27160</v>
      </c>
      <c r="E78" s="46" t="s">
        <v>324</v>
      </c>
      <c r="F78" s="169" t="s">
        <v>283</v>
      </c>
      <c r="G78" s="169"/>
      <c r="H78" s="169"/>
      <c r="I78" s="169"/>
      <c r="J78" s="169"/>
      <c r="K78" s="83"/>
      <c r="L78" s="85">
        <v>0</v>
      </c>
      <c r="M78" s="88">
        <f>+L78*(($M$89/$M$88)*C78)</f>
        <v>0</v>
      </c>
    </row>
    <row r="79" spans="3:13" x14ac:dyDescent="0.25">
      <c r="C79" s="26"/>
      <c r="E79" s="165"/>
      <c r="F79" s="165"/>
      <c r="G79" s="165"/>
      <c r="H79" s="165"/>
      <c r="I79" s="165"/>
      <c r="J79" s="165"/>
      <c r="K79" s="165"/>
      <c r="L79" s="165"/>
      <c r="M79" s="165"/>
    </row>
    <row r="80" spans="3:13" x14ac:dyDescent="0.25">
      <c r="C80" s="26"/>
      <c r="E80" s="166" t="s">
        <v>325</v>
      </c>
      <c r="F80" s="166"/>
      <c r="G80" s="166"/>
      <c r="H80" s="166"/>
      <c r="I80" s="166"/>
      <c r="J80" s="166"/>
      <c r="K80" s="166"/>
      <c r="L80" s="166"/>
      <c r="M80" s="63">
        <f>+M78+M76+M75+M74+M73+M72+M71+M70+M69</f>
        <v>0</v>
      </c>
    </row>
    <row r="81" spans="3:13" x14ac:dyDescent="0.25">
      <c r="C81" s="26"/>
      <c r="E81" s="111"/>
      <c r="F81" s="111"/>
      <c r="G81" s="111"/>
      <c r="H81" s="111"/>
      <c r="I81" s="111"/>
      <c r="J81" s="111"/>
      <c r="K81" s="111"/>
      <c r="L81" s="111"/>
      <c r="M81" s="111"/>
    </row>
    <row r="82" spans="3:13" x14ac:dyDescent="0.25">
      <c r="C82" s="26"/>
      <c r="E82" s="111"/>
      <c r="F82" s="111"/>
      <c r="G82" s="111"/>
      <c r="H82" s="111"/>
      <c r="I82" s="111"/>
      <c r="J82" s="111"/>
      <c r="K82" s="111"/>
      <c r="L82" s="111"/>
      <c r="M82" s="111"/>
    </row>
    <row r="83" spans="3:13" x14ac:dyDescent="0.25">
      <c r="C83" s="26"/>
      <c r="E83" s="111"/>
      <c r="F83" s="111"/>
      <c r="G83" s="111"/>
      <c r="H83" s="111"/>
      <c r="I83" s="111"/>
      <c r="J83" s="111"/>
      <c r="K83" s="111"/>
      <c r="L83" s="111"/>
      <c r="M83" s="111"/>
    </row>
    <row r="84" spans="3:13" ht="15.75" thickBot="1" x14ac:dyDescent="0.3">
      <c r="E84" s="8"/>
      <c r="F84" s="8"/>
      <c r="G84" s="8"/>
      <c r="H84" s="8"/>
      <c r="I84" s="8"/>
      <c r="J84" s="2"/>
      <c r="K84" s="168" t="s">
        <v>106</v>
      </c>
      <c r="L84" s="168"/>
      <c r="M84" s="60">
        <f>+M80+M65+M50+M60+M37+M29+M12+M11</f>
        <v>0</v>
      </c>
    </row>
    <row r="85" spans="3:13" ht="15.75" thickTop="1" x14ac:dyDescent="0.25">
      <c r="E85" s="8"/>
      <c r="F85" s="8"/>
      <c r="G85" s="8"/>
      <c r="H85" s="8"/>
      <c r="I85" s="8"/>
      <c r="J85" s="2"/>
      <c r="K85" s="110"/>
      <c r="L85" s="110"/>
      <c r="M85" s="107"/>
    </row>
    <row r="86" spans="3:13" x14ac:dyDescent="0.25">
      <c r="E86" s="8"/>
      <c r="F86" s="8"/>
      <c r="G86" s="8"/>
      <c r="H86" s="8"/>
      <c r="I86" s="8"/>
      <c r="J86" s="2"/>
      <c r="K86" s="110"/>
      <c r="L86" s="110"/>
      <c r="M86" s="107"/>
    </row>
    <row r="87" spans="3:13" ht="15" customHeight="1" x14ac:dyDescent="0.25">
      <c r="E87" s="162" t="s">
        <v>308</v>
      </c>
      <c r="F87" s="163"/>
      <c r="G87" s="163"/>
      <c r="H87" s="163"/>
      <c r="I87" s="164"/>
      <c r="J87" s="162" t="s">
        <v>379</v>
      </c>
      <c r="K87" s="163"/>
      <c r="L87" s="163"/>
      <c r="M87" s="164"/>
    </row>
    <row r="88" spans="3:13" ht="15" customHeight="1" x14ac:dyDescent="0.25">
      <c r="E88" s="161" t="s">
        <v>309</v>
      </c>
      <c r="F88" s="156"/>
      <c r="G88" s="156"/>
      <c r="H88" s="156"/>
      <c r="I88" s="100">
        <v>292.3</v>
      </c>
      <c r="J88" s="161" t="s">
        <v>280</v>
      </c>
      <c r="K88" s="156"/>
      <c r="L88" s="156"/>
      <c r="M88" s="102">
        <v>147.1</v>
      </c>
    </row>
    <row r="89" spans="3:13" ht="15" customHeight="1" x14ac:dyDescent="0.25">
      <c r="E89" s="161" t="s">
        <v>356</v>
      </c>
      <c r="F89" s="156"/>
      <c r="G89" s="156"/>
      <c r="H89" s="156"/>
      <c r="I89" s="70">
        <v>416.5</v>
      </c>
      <c r="J89" s="161" t="s">
        <v>281</v>
      </c>
      <c r="K89" s="156"/>
      <c r="L89" s="156"/>
      <c r="M89" s="102">
        <f>+Vísitölur_frá_Hagstofu[Byggingarvísitala jan]</f>
        <v>202.5</v>
      </c>
    </row>
    <row r="90" spans="3:13" ht="15" customHeight="1" x14ac:dyDescent="0.25">
      <c r="E90" s="161" t="s">
        <v>310</v>
      </c>
      <c r="F90" s="156"/>
      <c r="G90" s="156"/>
      <c r="H90" s="156"/>
      <c r="I90" s="100">
        <v>712.1</v>
      </c>
      <c r="J90" s="103"/>
      <c r="K90" s="8"/>
      <c r="L90" s="8"/>
      <c r="M90" s="100"/>
    </row>
    <row r="91" spans="3:13" ht="15" customHeight="1" x14ac:dyDescent="0.25">
      <c r="E91" s="161" t="s">
        <v>311</v>
      </c>
      <c r="F91" s="156"/>
      <c r="G91" s="156"/>
      <c r="H91" s="156"/>
      <c r="I91" s="102">
        <f>+Vísitölur_frá_Hagstofu[Vísitala]</f>
        <v>1030.5999999999999</v>
      </c>
      <c r="J91" s="103"/>
      <c r="K91" s="8"/>
      <c r="L91" s="8"/>
      <c r="M91" s="100"/>
    </row>
    <row r="92" spans="3:13" ht="15" customHeight="1" x14ac:dyDescent="0.25">
      <c r="E92" s="161" t="s">
        <v>312</v>
      </c>
      <c r="F92" s="156"/>
      <c r="G92" s="156"/>
      <c r="H92" s="156"/>
      <c r="I92" s="102" t="e">
        <f>+Vísitölur_frá_Hagstofu[Rúmmetraverð]</f>
        <v>#DIV/0!</v>
      </c>
      <c r="J92" s="103"/>
      <c r="K92" s="8"/>
      <c r="L92" s="8"/>
      <c r="M92" s="100"/>
    </row>
    <row r="93" spans="3:13" ht="15" customHeight="1" x14ac:dyDescent="0.25">
      <c r="E93" s="161" t="s">
        <v>254</v>
      </c>
      <c r="F93" s="156"/>
      <c r="G93" s="156"/>
      <c r="H93" s="156"/>
      <c r="I93" s="108">
        <v>117895</v>
      </c>
      <c r="J93" s="103"/>
      <c r="K93" s="8"/>
      <c r="L93" s="8"/>
      <c r="M93" s="100"/>
    </row>
    <row r="94" spans="3:13" ht="15" customHeight="1" x14ac:dyDescent="0.25">
      <c r="E94" s="159" t="s">
        <v>313</v>
      </c>
      <c r="F94" s="160"/>
      <c r="G94" s="160"/>
      <c r="H94" s="160"/>
      <c r="I94" s="130">
        <f>+Vísitölur_frá_Hagstofu[Fermetraverð]</f>
        <v>321516</v>
      </c>
      <c r="J94" s="104"/>
      <c r="K94" s="105"/>
      <c r="L94" s="105"/>
      <c r="M94" s="101"/>
    </row>
    <row r="95" spans="3:13" x14ac:dyDescent="0.25">
      <c r="E95" s="112"/>
      <c r="F95" s="112"/>
      <c r="G95" s="112"/>
      <c r="H95" s="112"/>
      <c r="I95" s="113"/>
      <c r="J95" s="99"/>
      <c r="K95" s="99"/>
      <c r="L95" s="99"/>
      <c r="M95" s="99"/>
    </row>
    <row r="96" spans="3:13" x14ac:dyDescent="0.25">
      <c r="E96" s="8" t="str">
        <f>+Heild!E236</f>
        <v>Gjaldskrá fyrir byggingarleyfis- og þjónustugjöld í Svf. Ölfusi 31.1.2019</v>
      </c>
      <c r="F96" s="8"/>
      <c r="G96" s="8"/>
      <c r="H96" s="8"/>
      <c r="I96" s="8"/>
      <c r="J96" s="8"/>
      <c r="K96" s="8"/>
      <c r="L96" s="8"/>
      <c r="M96" s="8"/>
    </row>
    <row r="97" spans="5:13" x14ac:dyDescent="0.25">
      <c r="E97" s="8" t="str">
        <f>+Heild!E237</f>
        <v>Gjöld skv. samþykkt um gatnagerðargjöld fyrir Sveitarfélagið Ölfus, 20. ágúst 2020</v>
      </c>
      <c r="F97" s="8"/>
      <c r="G97" s="8"/>
      <c r="H97" s="8"/>
      <c r="I97" s="8"/>
      <c r="J97" s="8"/>
      <c r="K97" s="8"/>
      <c r="L97" s="8"/>
      <c r="M97" s="8"/>
    </row>
    <row r="98" spans="5:13" x14ac:dyDescent="0.25">
      <c r="E98" s="8" t="str">
        <f>+Heild!E238</f>
        <v>Það % hlutfall sem gefið er upp er hlutfall af vísitölu fermetrakostnaði við vísitölu hús byggt á grunni frá 1987.</v>
      </c>
      <c r="F98" s="8"/>
      <c r="G98" s="8"/>
      <c r="H98" s="8"/>
      <c r="I98" s="8"/>
      <c r="J98" s="8"/>
      <c r="K98" s="8"/>
      <c r="L98" s="8"/>
      <c r="M98" s="8"/>
    </row>
  </sheetData>
  <dataConsolidate link="1"/>
  <mergeCells count="88">
    <mergeCell ref="E94:H94"/>
    <mergeCell ref="F71:H71"/>
    <mergeCell ref="F72:H72"/>
    <mergeCell ref="F73:H73"/>
    <mergeCell ref="F74:H74"/>
    <mergeCell ref="F75:H75"/>
    <mergeCell ref="E93:H93"/>
    <mergeCell ref="E90:H90"/>
    <mergeCell ref="E91:H91"/>
    <mergeCell ref="E92:H92"/>
    <mergeCell ref="F67:M67"/>
    <mergeCell ref="F68:H68"/>
    <mergeCell ref="F69:H69"/>
    <mergeCell ref="F70:H70"/>
    <mergeCell ref="J89:L89"/>
    <mergeCell ref="E89:H89"/>
    <mergeCell ref="E87:I87"/>
    <mergeCell ref="E88:H88"/>
    <mergeCell ref="J88:L88"/>
    <mergeCell ref="J87:M87"/>
    <mergeCell ref="F76:H76"/>
    <mergeCell ref="F78:J78"/>
    <mergeCell ref="E79:M79"/>
    <mergeCell ref="E80:L80"/>
    <mergeCell ref="K84:L84"/>
    <mergeCell ref="F35:I35"/>
    <mergeCell ref="E30:M31"/>
    <mergeCell ref="F27:I27"/>
    <mergeCell ref="F17:I17"/>
    <mergeCell ref="F18:I18"/>
    <mergeCell ref="F19:I19"/>
    <mergeCell ref="E28:M28"/>
    <mergeCell ref="E29:L29"/>
    <mergeCell ref="F32:M32"/>
    <mergeCell ref="F33:I33"/>
    <mergeCell ref="F34:I34"/>
    <mergeCell ref="F25:I25"/>
    <mergeCell ref="F26:I26"/>
    <mergeCell ref="F20:I20"/>
    <mergeCell ref="F21:I21"/>
    <mergeCell ref="F22:I22"/>
    <mergeCell ref="F53:M53"/>
    <mergeCell ref="F57:G57"/>
    <mergeCell ref="F58:G58"/>
    <mergeCell ref="E59:M59"/>
    <mergeCell ref="E60:L60"/>
    <mergeCell ref="F54:G54"/>
    <mergeCell ref="F55:G55"/>
    <mergeCell ref="E64:M64"/>
    <mergeCell ref="E66:M66"/>
    <mergeCell ref="F62:M62"/>
    <mergeCell ref="F63:G63"/>
    <mergeCell ref="E61:M61"/>
    <mergeCell ref="E65:L65"/>
    <mergeCell ref="E51:M52"/>
    <mergeCell ref="F40:M40"/>
    <mergeCell ref="E38:M39"/>
    <mergeCell ref="E37:L37"/>
    <mergeCell ref="E36:M36"/>
    <mergeCell ref="F47:H47"/>
    <mergeCell ref="F48:H48"/>
    <mergeCell ref="E50:L50"/>
    <mergeCell ref="F42:H42"/>
    <mergeCell ref="F43:H43"/>
    <mergeCell ref="F44:H44"/>
    <mergeCell ref="F46:H46"/>
    <mergeCell ref="F15:M15"/>
    <mergeCell ref="F10:M10"/>
    <mergeCell ref="F11:I11"/>
    <mergeCell ref="F12:I12"/>
    <mergeCell ref="J12:K12"/>
    <mergeCell ref="E13:M14"/>
    <mergeCell ref="F23:I23"/>
    <mergeCell ref="F24:I24"/>
    <mergeCell ref="E1:M1"/>
    <mergeCell ref="E2:M2"/>
    <mergeCell ref="F3:I3"/>
    <mergeCell ref="K3:M3"/>
    <mergeCell ref="F4:I4"/>
    <mergeCell ref="K4:M4"/>
    <mergeCell ref="F5:I5"/>
    <mergeCell ref="K5:M5"/>
    <mergeCell ref="F6:I6"/>
    <mergeCell ref="K6:M6"/>
    <mergeCell ref="E7:I7"/>
    <mergeCell ref="J7:N7"/>
    <mergeCell ref="F16:I16"/>
    <mergeCell ref="E8:I8"/>
  </mergeCells>
  <printOptions horizontalCentered="1"/>
  <pageMargins left="0.70866141732283472" right="0.70866141732283472" top="0.74803149606299213" bottom="0.74803149606299213" header="0.31496062992125984" footer="0.31496062992125984"/>
  <pageSetup paperSize="9" scale="73" fitToHeight="0" orientation="portrait" errors="dash" r:id="rId1"/>
  <headerFooter>
    <oddHeader>&amp;L&amp;G&amp;R&amp;D/&amp;T</oddHeader>
    <oddFooter>&amp;L&amp;F
Gjaldskrá - &amp;A&amp;R&amp;P/&amp;N</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E0C38-14D2-4521-A60F-F3A08DFB78AA}">
  <sheetPr>
    <tabColor theme="5" tint="0.59999389629810485"/>
    <pageSetUpPr fitToPage="1"/>
  </sheetPr>
  <dimension ref="A1:T29"/>
  <sheetViews>
    <sheetView view="pageBreakPreview" topLeftCell="E1" zoomScaleNormal="100" zoomScaleSheetLayoutView="100" workbookViewId="0">
      <selection activeCell="L12" sqref="L12"/>
    </sheetView>
  </sheetViews>
  <sheetFormatPr defaultColWidth="9.140625" defaultRowHeight="15" outlineLevelCol="1" x14ac:dyDescent="0.25"/>
  <cols>
    <col min="1" max="4" width="9.140625" hidden="1" customWidth="1" outlineLevel="1"/>
    <col min="5" max="5" width="7.7109375" customWidth="1" collapsed="1"/>
    <col min="6" max="6" width="5.85546875" customWidth="1"/>
    <col min="7" max="7" width="14.42578125" customWidth="1"/>
    <col min="8" max="8" width="15.42578125" customWidth="1"/>
    <col min="9" max="9" width="15.5703125" customWidth="1"/>
    <col min="10" max="10" width="22.28515625" customWidth="1"/>
    <col min="11" max="11" width="5.28515625" customWidth="1"/>
    <col min="12" max="12" width="17.5703125" customWidth="1"/>
    <col min="13" max="13" width="15.42578125" customWidth="1"/>
    <col min="14" max="14" width="19" customWidth="1"/>
    <col min="15" max="15" width="13.85546875" customWidth="1"/>
    <col min="16" max="16" width="19.28515625" customWidth="1"/>
    <col min="17" max="17" width="15.7109375" customWidth="1"/>
  </cols>
  <sheetData>
    <row r="1" spans="1:20" ht="23.25" x14ac:dyDescent="0.25">
      <c r="E1" s="148" t="s">
        <v>1</v>
      </c>
      <c r="F1" s="148"/>
      <c r="G1" s="148"/>
      <c r="H1" s="148"/>
      <c r="I1" s="148"/>
      <c r="J1" s="148"/>
      <c r="K1" s="148"/>
      <c r="L1" s="148"/>
      <c r="M1" s="148"/>
      <c r="O1" s="1"/>
    </row>
    <row r="2" spans="1:20" ht="21" x14ac:dyDescent="0.25">
      <c r="E2" s="149" t="s">
        <v>0</v>
      </c>
      <c r="F2" s="149"/>
      <c r="G2" s="149"/>
      <c r="H2" s="149"/>
      <c r="I2" s="149"/>
      <c r="J2" s="149"/>
      <c r="K2" s="149"/>
      <c r="L2" s="149"/>
      <c r="M2" s="149"/>
      <c r="O2" s="1"/>
    </row>
    <row r="3" spans="1:20" x14ac:dyDescent="0.25">
      <c r="E3" s="49" t="s">
        <v>3</v>
      </c>
      <c r="F3" s="150"/>
      <c r="G3" s="150"/>
      <c r="H3" s="150"/>
      <c r="I3" s="150"/>
      <c r="J3" s="49" t="s">
        <v>4</v>
      </c>
      <c r="K3" s="150"/>
      <c r="L3" s="150"/>
      <c r="M3" s="150"/>
      <c r="O3" s="1"/>
    </row>
    <row r="4" spans="1:20" x14ac:dyDescent="0.25">
      <c r="E4" s="50" t="s">
        <v>133</v>
      </c>
      <c r="F4" s="144"/>
      <c r="G4" s="144"/>
      <c r="H4" s="144"/>
      <c r="I4" s="144"/>
      <c r="J4" s="50" t="s">
        <v>5</v>
      </c>
      <c r="K4" s="144"/>
      <c r="L4" s="144"/>
      <c r="M4" s="144"/>
      <c r="O4" s="1"/>
    </row>
    <row r="5" spans="1:20" x14ac:dyDescent="0.25">
      <c r="E5" s="50" t="s">
        <v>2</v>
      </c>
      <c r="F5" s="144"/>
      <c r="G5" s="144"/>
      <c r="H5" s="144"/>
      <c r="I5" s="144"/>
      <c r="J5" s="50" t="s">
        <v>6</v>
      </c>
      <c r="K5" s="144"/>
      <c r="L5" s="144"/>
      <c r="M5" s="144"/>
    </row>
    <row r="6" spans="1:20" x14ac:dyDescent="0.25">
      <c r="E6" s="51" t="s">
        <v>134</v>
      </c>
      <c r="F6" s="144"/>
      <c r="G6" s="144"/>
      <c r="H6" s="144"/>
      <c r="I6" s="144"/>
      <c r="J6" s="50" t="s">
        <v>7</v>
      </c>
      <c r="K6" s="144"/>
      <c r="L6" s="144"/>
      <c r="M6" s="144"/>
    </row>
    <row r="7" spans="1:20" x14ac:dyDescent="0.25">
      <c r="E7" s="151"/>
      <c r="F7" s="151"/>
      <c r="G7" s="151"/>
      <c r="H7" s="151"/>
      <c r="I7" s="151"/>
      <c r="J7" s="151"/>
      <c r="K7" s="151"/>
      <c r="L7" s="151"/>
      <c r="M7" s="151"/>
      <c r="N7" s="151"/>
    </row>
    <row r="8" spans="1:20" ht="15.75" thickBot="1" x14ac:dyDescent="0.3">
      <c r="A8" s="25" t="s">
        <v>53</v>
      </c>
      <c r="E8" s="145"/>
      <c r="F8" s="145"/>
      <c r="G8" s="145"/>
      <c r="H8" s="145"/>
      <c r="I8" s="145"/>
      <c r="J8" s="52" t="s">
        <v>100</v>
      </c>
      <c r="K8" s="52" t="s">
        <v>105</v>
      </c>
      <c r="L8" s="52" t="s">
        <v>102</v>
      </c>
      <c r="M8" s="52" t="s">
        <v>101</v>
      </c>
    </row>
    <row r="9" spans="1:20" ht="2.25" customHeight="1" thickTop="1" x14ac:dyDescent="0.25">
      <c r="A9" s="25"/>
      <c r="E9" s="61"/>
      <c r="F9" s="61"/>
      <c r="G9" s="61"/>
      <c r="H9" s="61"/>
      <c r="I9" s="61"/>
      <c r="J9" s="57"/>
      <c r="K9" s="57"/>
      <c r="L9" s="57"/>
      <c r="M9" s="57"/>
    </row>
    <row r="10" spans="1:20" ht="25.5" customHeight="1" x14ac:dyDescent="0.25">
      <c r="A10" s="25"/>
      <c r="E10" s="16" t="s">
        <v>240</v>
      </c>
      <c r="F10" s="147" t="s">
        <v>241</v>
      </c>
      <c r="G10" s="147"/>
      <c r="H10" s="147"/>
      <c r="I10" s="147"/>
      <c r="J10" s="147"/>
      <c r="K10" s="147"/>
      <c r="L10" s="147"/>
      <c r="M10" s="147"/>
    </row>
    <row r="11" spans="1:20" ht="30" x14ac:dyDescent="0.25">
      <c r="A11" s="27"/>
      <c r="B11" s="1"/>
      <c r="D11" s="26"/>
      <c r="E11" s="46"/>
      <c r="F11" s="141" t="s">
        <v>242</v>
      </c>
      <c r="G11" s="141"/>
      <c r="H11" s="141"/>
      <c r="I11" s="141"/>
      <c r="J11" s="40">
        <f>22213*($I$22/$I$21)</f>
        <v>32148.178345737957</v>
      </c>
      <c r="K11" s="71" t="s">
        <v>243</v>
      </c>
      <c r="L11" s="72">
        <v>0</v>
      </c>
      <c r="M11" s="4">
        <f>+L11*J11</f>
        <v>0</v>
      </c>
      <c r="P11" s="3"/>
    </row>
    <row r="12" spans="1:20" x14ac:dyDescent="0.25">
      <c r="A12" s="27"/>
      <c r="B12" s="1"/>
      <c r="D12" s="26"/>
      <c r="E12" s="73"/>
      <c r="F12" s="141" t="s">
        <v>244</v>
      </c>
      <c r="G12" s="141"/>
      <c r="H12" s="141"/>
      <c r="I12" s="141"/>
      <c r="J12" s="153" t="s">
        <v>67</v>
      </c>
      <c r="K12" s="153"/>
      <c r="L12" s="9"/>
      <c r="M12" s="15">
        <v>0</v>
      </c>
      <c r="P12" s="3"/>
      <c r="S12" s="1"/>
      <c r="T12" s="3"/>
    </row>
    <row r="13" spans="1:20" x14ac:dyDescent="0.25">
      <c r="A13" s="27"/>
      <c r="D13" s="26"/>
      <c r="E13" s="61"/>
      <c r="F13" s="61"/>
      <c r="G13" s="61"/>
      <c r="H13" s="61"/>
      <c r="I13" s="61"/>
      <c r="J13" s="57"/>
      <c r="K13" s="57"/>
      <c r="L13" s="57"/>
      <c r="M13" s="57"/>
      <c r="S13" s="1"/>
      <c r="T13" s="3"/>
    </row>
    <row r="14" spans="1:20" x14ac:dyDescent="0.25">
      <c r="C14" s="26"/>
      <c r="E14" s="8"/>
      <c r="F14" s="8"/>
      <c r="G14" s="8"/>
      <c r="H14" s="8"/>
      <c r="I14" s="8"/>
      <c r="J14" s="8"/>
      <c r="K14" s="8"/>
      <c r="L14" s="8"/>
      <c r="M14" s="8"/>
    </row>
    <row r="15" spans="1:20" ht="15.75" thickBot="1" x14ac:dyDescent="0.3">
      <c r="E15" s="8"/>
      <c r="F15" s="8"/>
      <c r="G15" s="8"/>
      <c r="H15" s="8"/>
      <c r="I15" s="8"/>
      <c r="J15" s="2"/>
      <c r="K15" s="168" t="s">
        <v>106</v>
      </c>
      <c r="L15" s="168"/>
      <c r="M15" s="60">
        <f>+M12+M11</f>
        <v>0</v>
      </c>
    </row>
    <row r="16" spans="1:20" ht="15.75" thickTop="1" x14ac:dyDescent="0.25">
      <c r="E16" s="8"/>
      <c r="F16" s="8"/>
      <c r="G16" s="8"/>
      <c r="H16" s="8"/>
      <c r="I16" s="8"/>
      <c r="J16" s="8"/>
      <c r="K16" s="59"/>
      <c r="L16" s="59"/>
      <c r="M16" s="59"/>
    </row>
    <row r="17" spans="1:13" x14ac:dyDescent="0.25">
      <c r="E17" s="99"/>
      <c r="F17" s="99"/>
      <c r="G17" s="99"/>
      <c r="H17" s="99"/>
      <c r="I17" s="99"/>
      <c r="J17" s="8"/>
      <c r="K17" s="59"/>
      <c r="L17" s="59"/>
      <c r="M17" s="59"/>
    </row>
    <row r="18" spans="1:13" x14ac:dyDescent="0.25">
      <c r="A18" s="114"/>
      <c r="B18" s="115"/>
      <c r="C18" s="115"/>
      <c r="D18" s="115"/>
      <c r="E18" s="162" t="s">
        <v>308</v>
      </c>
      <c r="F18" s="163"/>
      <c r="G18" s="163"/>
      <c r="H18" s="163"/>
      <c r="I18" s="164"/>
      <c r="J18" s="162" t="s">
        <v>379</v>
      </c>
      <c r="K18" s="163"/>
      <c r="L18" s="163"/>
      <c r="M18" s="164"/>
    </row>
    <row r="19" spans="1:13" ht="15" customHeight="1" x14ac:dyDescent="0.25">
      <c r="A19" s="116"/>
      <c r="E19" s="161" t="s">
        <v>309</v>
      </c>
      <c r="F19" s="156"/>
      <c r="G19" s="156"/>
      <c r="H19" s="156"/>
      <c r="I19" s="100">
        <v>292.3</v>
      </c>
      <c r="J19" s="161" t="s">
        <v>280</v>
      </c>
      <c r="K19" s="156"/>
      <c r="L19" s="156"/>
      <c r="M19" s="102">
        <v>147.1</v>
      </c>
    </row>
    <row r="20" spans="1:13" ht="15" customHeight="1" x14ac:dyDescent="0.25">
      <c r="A20" s="116"/>
      <c r="E20" s="161" t="s">
        <v>356</v>
      </c>
      <c r="F20" s="156"/>
      <c r="G20" s="156"/>
      <c r="H20" s="156"/>
      <c r="I20" s="70">
        <v>416.5</v>
      </c>
      <c r="J20" s="161" t="s">
        <v>281</v>
      </c>
      <c r="K20" s="156"/>
      <c r="L20" s="156"/>
      <c r="M20" s="102">
        <f>+Vísitölur_frá_Hagstofu[Byggingarvísitala jan]</f>
        <v>202.5</v>
      </c>
    </row>
    <row r="21" spans="1:13" ht="15" customHeight="1" x14ac:dyDescent="0.25">
      <c r="A21" s="116"/>
      <c r="E21" s="161" t="s">
        <v>310</v>
      </c>
      <c r="F21" s="156"/>
      <c r="G21" s="156"/>
      <c r="H21" s="156"/>
      <c r="I21" s="100">
        <v>712.1</v>
      </c>
      <c r="J21" s="103"/>
      <c r="K21" s="8"/>
      <c r="L21" s="8"/>
      <c r="M21" s="100"/>
    </row>
    <row r="22" spans="1:13" ht="15" customHeight="1" x14ac:dyDescent="0.25">
      <c r="A22" s="116"/>
      <c r="E22" s="161" t="s">
        <v>311</v>
      </c>
      <c r="F22" s="156"/>
      <c r="G22" s="156"/>
      <c r="H22" s="156"/>
      <c r="I22" s="102">
        <f>+Vísitölur_frá_Hagstofu[Vísitala]</f>
        <v>1030.5999999999999</v>
      </c>
      <c r="J22" s="103"/>
      <c r="K22" s="8"/>
      <c r="L22" s="8"/>
      <c r="M22" s="100"/>
    </row>
    <row r="23" spans="1:13" ht="15" customHeight="1" x14ac:dyDescent="0.25">
      <c r="A23" s="116"/>
      <c r="E23" s="161" t="s">
        <v>312</v>
      </c>
      <c r="F23" s="156"/>
      <c r="G23" s="156"/>
      <c r="H23" s="156"/>
      <c r="I23" s="102" t="e">
        <f>+Vísitölur_frá_Hagstofu[Rúmmetraverð]</f>
        <v>#DIV/0!</v>
      </c>
      <c r="J23" s="103"/>
      <c r="K23" s="8"/>
      <c r="L23" s="8"/>
      <c r="M23" s="100"/>
    </row>
    <row r="24" spans="1:13" ht="15" customHeight="1" x14ac:dyDescent="0.25">
      <c r="A24" s="116"/>
      <c r="E24" s="161" t="s">
        <v>254</v>
      </c>
      <c r="F24" s="156"/>
      <c r="G24" s="156"/>
      <c r="H24" s="156"/>
      <c r="I24" s="108">
        <v>117895</v>
      </c>
      <c r="J24" s="103"/>
      <c r="K24" s="8"/>
      <c r="L24" s="8"/>
      <c r="M24" s="100"/>
    </row>
    <row r="25" spans="1:13" ht="15" customHeight="1" x14ac:dyDescent="0.25">
      <c r="A25" s="117"/>
      <c r="B25" s="118"/>
      <c r="C25" s="118"/>
      <c r="D25" s="118"/>
      <c r="E25" s="159" t="s">
        <v>313</v>
      </c>
      <c r="F25" s="160"/>
      <c r="G25" s="160"/>
      <c r="H25" s="160"/>
      <c r="I25" s="130">
        <f>+Vísitölur_frá_Hagstofu[Fermetraverð]</f>
        <v>321516</v>
      </c>
      <c r="J25" s="104"/>
      <c r="K25" s="105"/>
      <c r="L25" s="105"/>
      <c r="M25" s="101"/>
    </row>
    <row r="26" spans="1:13" x14ac:dyDescent="0.25">
      <c r="E26" s="59"/>
      <c r="F26" s="59"/>
      <c r="G26" s="59"/>
      <c r="H26" s="59"/>
      <c r="I26" s="59"/>
      <c r="J26" s="59"/>
      <c r="K26" s="59"/>
      <c r="L26" s="59"/>
      <c r="M26" s="59"/>
    </row>
    <row r="27" spans="1:13" x14ac:dyDescent="0.25">
      <c r="E27" s="8" t="str">
        <f>+Heild!E236</f>
        <v>Gjaldskrá fyrir byggingarleyfis- og þjónustugjöld í Svf. Ölfusi 31.1.2019</v>
      </c>
      <c r="F27" s="8"/>
      <c r="G27" s="8"/>
      <c r="H27" s="8"/>
      <c r="I27" s="8"/>
      <c r="J27" s="8"/>
      <c r="K27" s="8"/>
      <c r="L27" s="8"/>
      <c r="M27" s="8"/>
    </row>
    <row r="28" spans="1:13" x14ac:dyDescent="0.25">
      <c r="E28" s="8" t="str">
        <f>+Heild!E237</f>
        <v>Gjöld skv. samþykkt um gatnagerðargjöld fyrir Sveitarfélagið Ölfus, 20. ágúst 2020</v>
      </c>
      <c r="F28" s="8"/>
      <c r="G28" s="8"/>
      <c r="H28" s="8"/>
      <c r="I28" s="8"/>
      <c r="J28" s="8"/>
      <c r="K28" s="8"/>
      <c r="L28" s="8"/>
      <c r="M28" s="8"/>
    </row>
    <row r="29" spans="1:13" x14ac:dyDescent="0.25">
      <c r="E29" s="8" t="str">
        <f>+Heild!E238</f>
        <v>Það % hlutfall sem gefið er upp er hlutfall af vísitölu fermetrakostnaði við vísitölu hús byggt á grunni frá 1987.</v>
      </c>
      <c r="F29" s="8"/>
      <c r="G29" s="8"/>
      <c r="H29" s="8"/>
      <c r="I29" s="8"/>
      <c r="J29" s="8"/>
      <c r="K29" s="8"/>
      <c r="L29" s="8"/>
      <c r="M29" s="8"/>
    </row>
  </sheetData>
  <dataConsolidate link="1"/>
  <mergeCells count="29">
    <mergeCell ref="J20:L20"/>
    <mergeCell ref="K15:L15"/>
    <mergeCell ref="J12:K12"/>
    <mergeCell ref="F11:I11"/>
    <mergeCell ref="F12:I12"/>
    <mergeCell ref="E18:I18"/>
    <mergeCell ref="J18:M18"/>
    <mergeCell ref="E19:H19"/>
    <mergeCell ref="J19:L19"/>
    <mergeCell ref="E25:H25"/>
    <mergeCell ref="E20:H20"/>
    <mergeCell ref="E21:H21"/>
    <mergeCell ref="E22:H22"/>
    <mergeCell ref="E23:H23"/>
    <mergeCell ref="E24:H24"/>
    <mergeCell ref="E1:M1"/>
    <mergeCell ref="E2:M2"/>
    <mergeCell ref="F3:I3"/>
    <mergeCell ref="K3:M3"/>
    <mergeCell ref="F4:I4"/>
    <mergeCell ref="K4:M4"/>
    <mergeCell ref="E8:I8"/>
    <mergeCell ref="F10:M10"/>
    <mergeCell ref="F5:I5"/>
    <mergeCell ref="K5:M5"/>
    <mergeCell ref="F6:I6"/>
    <mergeCell ref="K6:M6"/>
    <mergeCell ref="E7:I7"/>
    <mergeCell ref="J7:N7"/>
  </mergeCells>
  <printOptions horizontalCentered="1"/>
  <pageMargins left="0.70866141732283472" right="0.70866141732283472" top="0.74803149606299213" bottom="0.74803149606299213" header="0.31496062992125984" footer="0.31496062992125984"/>
  <pageSetup paperSize="9" scale="73" fitToHeight="0" orientation="portrait" errors="dash" r:id="rId1"/>
  <headerFooter>
    <oddHeader>&amp;L&amp;G&amp;R&amp;D/&amp;T</oddHeader>
    <oddFooter>&amp;L&amp;F
Gjaldskrá - &amp;A&amp;R&amp;P/&amp;N</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D6B02-619C-40D2-9205-FD019131F756}">
  <sheetPr codeName="Sheet3">
    <tabColor theme="5" tint="0.59999389629810485"/>
    <pageSetUpPr fitToPage="1"/>
  </sheetPr>
  <dimension ref="A1:T74"/>
  <sheetViews>
    <sheetView view="pageBreakPreview" topLeftCell="E51" zoomScaleNormal="100" zoomScaleSheetLayoutView="100" workbookViewId="0">
      <selection activeCell="L54" sqref="L54"/>
    </sheetView>
  </sheetViews>
  <sheetFormatPr defaultColWidth="9.140625" defaultRowHeight="15" outlineLevelCol="1" x14ac:dyDescent="0.25"/>
  <cols>
    <col min="1" max="4" width="9.140625" hidden="1" customWidth="1" outlineLevel="1"/>
    <col min="5" max="5" width="7.7109375" customWidth="1" collapsed="1"/>
    <col min="6" max="6" width="5.85546875" customWidth="1"/>
    <col min="7" max="7" width="14.42578125" customWidth="1"/>
    <col min="8" max="8" width="15.42578125" customWidth="1"/>
    <col min="9" max="9" width="15.5703125" customWidth="1"/>
    <col min="10" max="10" width="22.28515625" customWidth="1"/>
    <col min="11" max="11" width="5.28515625" customWidth="1"/>
    <col min="12" max="12" width="17.5703125" customWidth="1"/>
    <col min="13" max="13" width="15.42578125" customWidth="1"/>
    <col min="14" max="14" width="19" customWidth="1"/>
    <col min="15" max="15" width="13.85546875" customWidth="1"/>
    <col min="16" max="16" width="19.28515625" customWidth="1"/>
    <col min="17" max="17" width="15.7109375" customWidth="1"/>
  </cols>
  <sheetData>
    <row r="1" spans="1:20" ht="23.25" x14ac:dyDescent="0.25">
      <c r="E1" s="148" t="s">
        <v>1</v>
      </c>
      <c r="F1" s="148"/>
      <c r="G1" s="148"/>
      <c r="H1" s="148"/>
      <c r="I1" s="148"/>
      <c r="J1" s="148"/>
      <c r="K1" s="148"/>
      <c r="L1" s="148"/>
      <c r="M1" s="148"/>
      <c r="O1" s="1"/>
    </row>
    <row r="2" spans="1:20" ht="21" x14ac:dyDescent="0.25">
      <c r="E2" s="149" t="s">
        <v>0</v>
      </c>
      <c r="F2" s="149"/>
      <c r="G2" s="149"/>
      <c r="H2" s="149"/>
      <c r="I2" s="149"/>
      <c r="J2" s="149"/>
      <c r="K2" s="149"/>
      <c r="L2" s="149"/>
      <c r="M2" s="149"/>
      <c r="O2" s="1"/>
    </row>
    <row r="3" spans="1:20" x14ac:dyDescent="0.25">
      <c r="E3" s="49" t="s">
        <v>3</v>
      </c>
      <c r="F3" s="150"/>
      <c r="G3" s="150"/>
      <c r="H3" s="150"/>
      <c r="I3" s="150"/>
      <c r="J3" s="49" t="s">
        <v>4</v>
      </c>
      <c r="K3" s="150"/>
      <c r="L3" s="150"/>
      <c r="M3" s="150"/>
      <c r="O3" s="1"/>
    </row>
    <row r="4" spans="1:20" x14ac:dyDescent="0.25">
      <c r="E4" s="50" t="s">
        <v>133</v>
      </c>
      <c r="F4" s="144"/>
      <c r="G4" s="144"/>
      <c r="H4" s="144"/>
      <c r="I4" s="144"/>
      <c r="J4" s="50" t="s">
        <v>5</v>
      </c>
      <c r="K4" s="144"/>
      <c r="L4" s="144"/>
      <c r="M4" s="144"/>
      <c r="O4" s="1"/>
    </row>
    <row r="5" spans="1:20" x14ac:dyDescent="0.25">
      <c r="E5" s="50" t="s">
        <v>2</v>
      </c>
      <c r="F5" s="144"/>
      <c r="G5" s="144"/>
      <c r="H5" s="144"/>
      <c r="I5" s="144"/>
      <c r="J5" s="50" t="s">
        <v>6</v>
      </c>
      <c r="K5" s="144"/>
      <c r="L5" s="144"/>
      <c r="M5" s="144"/>
    </row>
    <row r="6" spans="1:20" x14ac:dyDescent="0.25">
      <c r="E6" s="51" t="s">
        <v>134</v>
      </c>
      <c r="F6" s="144"/>
      <c r="G6" s="144"/>
      <c r="H6" s="144"/>
      <c r="I6" s="144"/>
      <c r="J6" s="50" t="s">
        <v>7</v>
      </c>
      <c r="K6" s="144"/>
      <c r="L6" s="144"/>
      <c r="M6" s="144"/>
    </row>
    <row r="7" spans="1:20" x14ac:dyDescent="0.25">
      <c r="E7" s="151"/>
      <c r="F7" s="151"/>
      <c r="G7" s="151"/>
      <c r="H7" s="151"/>
      <c r="I7" s="151"/>
      <c r="J7" s="151"/>
      <c r="K7" s="151"/>
      <c r="L7" s="151"/>
      <c r="M7" s="151"/>
    </row>
    <row r="8" spans="1:20" ht="15.75" thickBot="1" x14ac:dyDescent="0.3">
      <c r="A8" s="25" t="s">
        <v>53</v>
      </c>
      <c r="E8" s="145"/>
      <c r="F8" s="145"/>
      <c r="G8" s="145"/>
      <c r="H8" s="145"/>
      <c r="I8" s="145"/>
      <c r="J8" s="52" t="s">
        <v>100</v>
      </c>
      <c r="K8" s="52" t="s">
        <v>105</v>
      </c>
      <c r="L8" s="52" t="s">
        <v>102</v>
      </c>
      <c r="M8" s="52" t="s">
        <v>101</v>
      </c>
    </row>
    <row r="9" spans="1:20" ht="2.25" customHeight="1" thickTop="1" x14ac:dyDescent="0.25">
      <c r="A9" s="25"/>
      <c r="E9" s="61"/>
      <c r="F9" s="61"/>
      <c r="G9" s="61"/>
      <c r="H9" s="61"/>
      <c r="I9" s="61"/>
      <c r="J9" s="57"/>
      <c r="K9" s="57"/>
      <c r="L9" s="57"/>
      <c r="M9" s="57"/>
    </row>
    <row r="10" spans="1:20" ht="25.5" customHeight="1" x14ac:dyDescent="0.25">
      <c r="A10" s="25"/>
      <c r="E10" s="16" t="s">
        <v>13</v>
      </c>
      <c r="F10" s="147" t="s">
        <v>148</v>
      </c>
      <c r="G10" s="147"/>
      <c r="H10" s="147"/>
      <c r="I10" s="147"/>
      <c r="J10" s="147"/>
      <c r="K10" s="147"/>
      <c r="L10" s="147"/>
      <c r="M10" s="147"/>
    </row>
    <row r="11" spans="1:20" x14ac:dyDescent="0.25">
      <c r="A11" s="27">
        <v>0.85</v>
      </c>
      <c r="B11" s="1"/>
      <c r="D11" s="26"/>
      <c r="E11" s="46" t="s">
        <v>108</v>
      </c>
      <c r="F11" s="141" t="s">
        <v>11</v>
      </c>
      <c r="G11" s="141"/>
      <c r="H11" s="141"/>
      <c r="I11" s="141"/>
      <c r="J11" s="40">
        <f>$I$71*A11</f>
        <v>273288.59999999998</v>
      </c>
      <c r="K11" s="9" t="s">
        <v>123</v>
      </c>
      <c r="L11" s="18">
        <v>0</v>
      </c>
      <c r="M11" s="4">
        <f>+L11*J11</f>
        <v>0</v>
      </c>
      <c r="P11" s="3"/>
    </row>
    <row r="12" spans="1:20" x14ac:dyDescent="0.25">
      <c r="A12" s="27">
        <v>0.65</v>
      </c>
      <c r="B12" s="1"/>
      <c r="D12" s="26"/>
      <c r="E12" s="46" t="s">
        <v>109</v>
      </c>
      <c r="F12" s="141" t="s">
        <v>122</v>
      </c>
      <c r="G12" s="141"/>
      <c r="H12" s="141"/>
      <c r="I12" s="141"/>
      <c r="J12" s="39">
        <f>$I$71*A12</f>
        <v>208985.4</v>
      </c>
      <c r="K12" s="9" t="s">
        <v>123</v>
      </c>
      <c r="L12" s="18">
        <v>0</v>
      </c>
      <c r="M12" s="4">
        <f>+L12*J12</f>
        <v>0</v>
      </c>
      <c r="P12" s="3"/>
      <c r="S12" s="1"/>
      <c r="T12" s="3"/>
    </row>
    <row r="13" spans="1:20" x14ac:dyDescent="0.25">
      <c r="A13" s="27">
        <v>0.5</v>
      </c>
      <c r="D13" s="26"/>
      <c r="E13" s="46" t="s">
        <v>110</v>
      </c>
      <c r="F13" s="141" t="s">
        <v>8</v>
      </c>
      <c r="G13" s="141"/>
      <c r="H13" s="141"/>
      <c r="I13" s="141"/>
      <c r="J13" s="39">
        <f>$I$71*A13</f>
        <v>160758</v>
      </c>
      <c r="K13" s="9" t="s">
        <v>123</v>
      </c>
      <c r="L13" s="18">
        <v>0</v>
      </c>
      <c r="M13" s="4">
        <f>+L13*J13</f>
        <v>0</v>
      </c>
      <c r="S13" s="1"/>
      <c r="T13" s="3"/>
    </row>
    <row r="14" spans="1:20" ht="30" customHeight="1" x14ac:dyDescent="0.25">
      <c r="D14" s="26"/>
      <c r="E14" s="46" t="s">
        <v>111</v>
      </c>
      <c r="F14" s="141" t="s">
        <v>33</v>
      </c>
      <c r="G14" s="141"/>
      <c r="H14" s="141"/>
      <c r="I14" s="141"/>
      <c r="J14" s="40"/>
      <c r="K14" s="9"/>
      <c r="L14" s="9"/>
      <c r="M14" s="4"/>
      <c r="S14" s="1"/>
      <c r="T14" s="3"/>
    </row>
    <row r="15" spans="1:20" x14ac:dyDescent="0.25">
      <c r="A15" s="27">
        <v>0.25</v>
      </c>
      <c r="D15" s="26"/>
      <c r="E15" s="46" t="s">
        <v>32</v>
      </c>
      <c r="F15" s="141" t="s">
        <v>54</v>
      </c>
      <c r="G15" s="141"/>
      <c r="H15" s="141"/>
      <c r="I15" s="141"/>
      <c r="J15" s="40">
        <f t="shared" ref="J15:J22" si="0">$I$71*A15</f>
        <v>80379</v>
      </c>
      <c r="K15" s="9" t="s">
        <v>123</v>
      </c>
      <c r="L15" s="18">
        <v>0</v>
      </c>
      <c r="M15" s="4">
        <f t="shared" ref="M15:M22" si="1">+L15*J15</f>
        <v>0</v>
      </c>
      <c r="S15" s="1"/>
      <c r="T15" s="3"/>
    </row>
    <row r="16" spans="1:20" x14ac:dyDescent="0.25">
      <c r="A16" s="27">
        <v>0.45</v>
      </c>
      <c r="D16" s="26"/>
      <c r="E16" s="46" t="s">
        <v>32</v>
      </c>
      <c r="F16" s="141" t="s">
        <v>55</v>
      </c>
      <c r="G16" s="141"/>
      <c r="H16" s="141"/>
      <c r="I16" s="141"/>
      <c r="J16" s="40">
        <f t="shared" si="0"/>
        <v>144682.20000000001</v>
      </c>
      <c r="K16" s="9" t="s">
        <v>123</v>
      </c>
      <c r="L16" s="18">
        <v>0</v>
      </c>
      <c r="M16" s="4">
        <f t="shared" si="1"/>
        <v>0</v>
      </c>
      <c r="S16" s="1"/>
      <c r="T16" s="3"/>
    </row>
    <row r="17" spans="1:13" x14ac:dyDescent="0.25">
      <c r="A17" s="27">
        <v>0.55000000000000004</v>
      </c>
      <c r="D17" s="26"/>
      <c r="E17" s="46" t="s">
        <v>32</v>
      </c>
      <c r="F17" s="141" t="s">
        <v>56</v>
      </c>
      <c r="G17" s="141"/>
      <c r="H17" s="141"/>
      <c r="I17" s="141"/>
      <c r="J17" s="40">
        <f t="shared" si="0"/>
        <v>176833.80000000002</v>
      </c>
      <c r="K17" s="9" t="s">
        <v>123</v>
      </c>
      <c r="L17" s="18">
        <v>0</v>
      </c>
      <c r="M17" s="4">
        <f t="shared" si="1"/>
        <v>0</v>
      </c>
    </row>
    <row r="18" spans="1:13" x14ac:dyDescent="0.25">
      <c r="A18" s="27">
        <v>0.1</v>
      </c>
      <c r="D18" s="26"/>
      <c r="E18" s="46" t="s">
        <v>112</v>
      </c>
      <c r="F18" s="141" t="s">
        <v>157</v>
      </c>
      <c r="G18" s="141"/>
      <c r="H18" s="141"/>
      <c r="I18" s="141"/>
      <c r="J18" s="40">
        <f t="shared" si="0"/>
        <v>32151.600000000002</v>
      </c>
      <c r="K18" s="9" t="s">
        <v>123</v>
      </c>
      <c r="L18" s="18">
        <v>0</v>
      </c>
      <c r="M18" s="4">
        <f t="shared" si="1"/>
        <v>0</v>
      </c>
    </row>
    <row r="19" spans="1:13" x14ac:dyDescent="0.25">
      <c r="A19" s="27">
        <v>0.25</v>
      </c>
      <c r="D19" s="26"/>
      <c r="E19" s="46" t="s">
        <v>158</v>
      </c>
      <c r="F19" s="141" t="s">
        <v>159</v>
      </c>
      <c r="G19" s="141"/>
      <c r="H19" s="141"/>
      <c r="I19" s="141"/>
      <c r="J19" s="40">
        <f t="shared" si="0"/>
        <v>80379</v>
      </c>
      <c r="K19" s="9" t="s">
        <v>123</v>
      </c>
      <c r="L19" s="18">
        <v>0</v>
      </c>
      <c r="M19" s="4">
        <f t="shared" si="1"/>
        <v>0</v>
      </c>
    </row>
    <row r="20" spans="1:13" x14ac:dyDescent="0.25">
      <c r="A20" s="27">
        <v>0.45</v>
      </c>
      <c r="D20" s="26"/>
      <c r="E20" s="46" t="s">
        <v>160</v>
      </c>
      <c r="F20" s="141" t="s">
        <v>12</v>
      </c>
      <c r="G20" s="141"/>
      <c r="H20" s="141"/>
      <c r="I20" s="141"/>
      <c r="J20" s="40">
        <f t="shared" si="0"/>
        <v>144682.20000000001</v>
      </c>
      <c r="K20" s="9" t="s">
        <v>123</v>
      </c>
      <c r="L20" s="18">
        <v>0</v>
      </c>
      <c r="M20" s="4">
        <f t="shared" si="1"/>
        <v>0</v>
      </c>
    </row>
    <row r="21" spans="1:13" x14ac:dyDescent="0.25">
      <c r="A21" s="27">
        <v>0.5</v>
      </c>
      <c r="D21" s="26"/>
      <c r="E21" s="46" t="s">
        <v>161</v>
      </c>
      <c r="F21" s="141" t="s">
        <v>34</v>
      </c>
      <c r="G21" s="141"/>
      <c r="H21" s="141"/>
      <c r="I21" s="141"/>
      <c r="J21" s="40">
        <f t="shared" si="0"/>
        <v>160758</v>
      </c>
      <c r="K21" s="9" t="s">
        <v>123</v>
      </c>
      <c r="L21" s="18">
        <v>0</v>
      </c>
      <c r="M21" s="4">
        <f t="shared" si="1"/>
        <v>0</v>
      </c>
    </row>
    <row r="22" spans="1:13" x14ac:dyDescent="0.25">
      <c r="A22" s="27">
        <v>0.65</v>
      </c>
      <c r="D22" s="26"/>
      <c r="E22" s="46" t="s">
        <v>162</v>
      </c>
      <c r="F22" s="141" t="s">
        <v>121</v>
      </c>
      <c r="G22" s="141"/>
      <c r="H22" s="141"/>
      <c r="I22" s="141"/>
      <c r="J22" s="40">
        <f t="shared" si="0"/>
        <v>208985.4</v>
      </c>
      <c r="K22" s="9" t="s">
        <v>123</v>
      </c>
      <c r="L22" s="18">
        <v>0</v>
      </c>
      <c r="M22" s="4">
        <f t="shared" si="1"/>
        <v>0</v>
      </c>
    </row>
    <row r="23" spans="1:13" x14ac:dyDescent="0.25">
      <c r="D23" s="26"/>
      <c r="E23" s="138"/>
      <c r="F23" s="138"/>
      <c r="G23" s="138"/>
      <c r="H23" s="138"/>
      <c r="I23" s="138"/>
      <c r="J23" s="138"/>
      <c r="K23" s="138"/>
      <c r="L23" s="138"/>
      <c r="M23" s="138"/>
    </row>
    <row r="24" spans="1:13" x14ac:dyDescent="0.25">
      <c r="C24" s="28"/>
      <c r="D24" s="26"/>
      <c r="E24" s="16" t="s">
        <v>14</v>
      </c>
      <c r="F24" s="136" t="s">
        <v>15</v>
      </c>
      <c r="G24" s="136"/>
      <c r="H24" s="136"/>
      <c r="I24" s="136"/>
      <c r="J24" s="136"/>
      <c r="K24" s="136"/>
      <c r="L24" s="136"/>
      <c r="M24" s="136"/>
    </row>
    <row r="25" spans="1:13" x14ac:dyDescent="0.25">
      <c r="A25" s="27">
        <v>0.12</v>
      </c>
      <c r="D25" s="26"/>
      <c r="E25" s="46" t="s">
        <v>16</v>
      </c>
      <c r="F25" s="140" t="s">
        <v>35</v>
      </c>
      <c r="G25" s="140"/>
      <c r="H25" s="140"/>
      <c r="I25" s="140"/>
      <c r="J25" s="38">
        <f t="shared" ref="J25:J31" si="2">$I$71*A25</f>
        <v>38581.919999999998</v>
      </c>
      <c r="K25" s="9" t="s">
        <v>123</v>
      </c>
      <c r="L25" s="18">
        <v>0</v>
      </c>
      <c r="M25" s="4">
        <f t="shared" ref="M25:M31" si="3">+L25*J25</f>
        <v>0</v>
      </c>
    </row>
    <row r="26" spans="1:13" x14ac:dyDescent="0.25">
      <c r="A26" s="27">
        <v>0.3</v>
      </c>
      <c r="D26" s="26"/>
      <c r="E26" s="46" t="s">
        <v>19</v>
      </c>
      <c r="F26" s="140" t="s">
        <v>36</v>
      </c>
      <c r="G26" s="140"/>
      <c r="H26" s="140"/>
      <c r="I26" s="140"/>
      <c r="J26" s="38">
        <f t="shared" si="2"/>
        <v>96454.8</v>
      </c>
      <c r="K26" s="9" t="s">
        <v>123</v>
      </c>
      <c r="L26" s="18">
        <v>0</v>
      </c>
      <c r="M26" s="4">
        <f t="shared" si="3"/>
        <v>0</v>
      </c>
    </row>
    <row r="27" spans="1:13" x14ac:dyDescent="0.25">
      <c r="A27" s="27">
        <v>0.55000000000000004</v>
      </c>
      <c r="D27" s="26"/>
      <c r="E27" s="46" t="s">
        <v>17</v>
      </c>
      <c r="F27" s="140" t="s">
        <v>37</v>
      </c>
      <c r="G27" s="140"/>
      <c r="H27" s="140"/>
      <c r="I27" s="140"/>
      <c r="J27" s="38">
        <f t="shared" si="2"/>
        <v>176833.80000000002</v>
      </c>
      <c r="K27" s="9" t="s">
        <v>123</v>
      </c>
      <c r="L27" s="18">
        <v>0</v>
      </c>
      <c r="M27" s="4">
        <f t="shared" si="3"/>
        <v>0</v>
      </c>
    </row>
    <row r="28" spans="1:13" x14ac:dyDescent="0.25">
      <c r="A28" s="27">
        <v>1.25</v>
      </c>
      <c r="D28" s="26"/>
      <c r="E28" s="46" t="s">
        <v>20</v>
      </c>
      <c r="F28" s="140" t="s">
        <v>38</v>
      </c>
      <c r="G28" s="140"/>
      <c r="H28" s="140"/>
      <c r="I28" s="140"/>
      <c r="J28" s="38">
        <f t="shared" si="2"/>
        <v>401895</v>
      </c>
      <c r="K28" s="9" t="s">
        <v>123</v>
      </c>
      <c r="L28" s="18">
        <v>0</v>
      </c>
      <c r="M28" s="4">
        <f t="shared" si="3"/>
        <v>0</v>
      </c>
    </row>
    <row r="29" spans="1:13" x14ac:dyDescent="0.25">
      <c r="A29" s="27">
        <v>1.8</v>
      </c>
      <c r="D29" s="26"/>
      <c r="E29" s="46" t="s">
        <v>18</v>
      </c>
      <c r="F29" s="140" t="s">
        <v>40</v>
      </c>
      <c r="G29" s="140"/>
      <c r="H29" s="140"/>
      <c r="I29" s="140"/>
      <c r="J29" s="38">
        <f t="shared" si="2"/>
        <v>578728.80000000005</v>
      </c>
      <c r="K29" s="9" t="s">
        <v>123</v>
      </c>
      <c r="L29" s="18">
        <v>0</v>
      </c>
      <c r="M29" s="4">
        <f t="shared" si="3"/>
        <v>0</v>
      </c>
    </row>
    <row r="30" spans="1:13" x14ac:dyDescent="0.25">
      <c r="A30" s="27">
        <v>2.6</v>
      </c>
      <c r="D30" s="26"/>
      <c r="E30" s="46" t="s">
        <v>21</v>
      </c>
      <c r="F30" s="140" t="s">
        <v>39</v>
      </c>
      <c r="G30" s="140"/>
      <c r="H30" s="140"/>
      <c r="I30" s="140"/>
      <c r="J30" s="38">
        <f t="shared" si="2"/>
        <v>835941.6</v>
      </c>
      <c r="K30" s="9" t="s">
        <v>123</v>
      </c>
      <c r="L30" s="18">
        <v>0</v>
      </c>
      <c r="M30" s="4">
        <f t="shared" si="3"/>
        <v>0</v>
      </c>
    </row>
    <row r="31" spans="1:13" x14ac:dyDescent="0.25">
      <c r="A31" s="27">
        <v>3.8</v>
      </c>
      <c r="D31" s="26"/>
      <c r="E31" s="46" t="s">
        <v>22</v>
      </c>
      <c r="F31" s="140" t="s">
        <v>41</v>
      </c>
      <c r="G31" s="140"/>
      <c r="H31" s="140"/>
      <c r="I31" s="140"/>
      <c r="J31" s="38">
        <f t="shared" si="2"/>
        <v>1221760.8</v>
      </c>
      <c r="K31" s="9" t="s">
        <v>123</v>
      </c>
      <c r="L31" s="18">
        <v>0</v>
      </c>
      <c r="M31" s="4">
        <f t="shared" si="3"/>
        <v>0</v>
      </c>
    </row>
    <row r="32" spans="1:13" x14ac:dyDescent="0.25">
      <c r="D32" s="26"/>
      <c r="E32" s="6"/>
      <c r="F32" s="152"/>
      <c r="G32" s="152"/>
      <c r="H32" s="152"/>
      <c r="I32" s="152"/>
      <c r="J32" s="40"/>
      <c r="K32" s="9"/>
      <c r="L32" s="9"/>
      <c r="M32" s="4"/>
    </row>
    <row r="33" spans="1:13" x14ac:dyDescent="0.25">
      <c r="D33" s="26"/>
      <c r="E33" s="7" t="s">
        <v>23</v>
      </c>
      <c r="F33" s="136" t="s">
        <v>42</v>
      </c>
      <c r="G33" s="136"/>
      <c r="H33" s="136"/>
      <c r="I33" s="136"/>
      <c r="J33" s="136"/>
      <c r="K33" s="136"/>
      <c r="L33" s="136"/>
      <c r="M33" s="136"/>
    </row>
    <row r="34" spans="1:13" x14ac:dyDescent="0.25">
      <c r="A34" s="27">
        <v>0.08</v>
      </c>
      <c r="D34" s="26"/>
      <c r="E34" s="46" t="s">
        <v>24</v>
      </c>
      <c r="F34" s="140" t="s">
        <v>35</v>
      </c>
      <c r="G34" s="140"/>
      <c r="H34" s="140"/>
      <c r="I34" s="140"/>
      <c r="J34" s="38">
        <f t="shared" ref="J34:J39" si="4">$I$71*A34</f>
        <v>25721.279999999999</v>
      </c>
      <c r="K34" s="9" t="s">
        <v>123</v>
      </c>
      <c r="L34" s="18">
        <v>0</v>
      </c>
      <c r="M34" s="4">
        <f t="shared" ref="M34:M39" si="5">+L34*J34</f>
        <v>0</v>
      </c>
    </row>
    <row r="35" spans="1:13" x14ac:dyDescent="0.25">
      <c r="A35" s="27">
        <v>0.12</v>
      </c>
      <c r="D35" s="26"/>
      <c r="E35" s="46" t="s">
        <v>25</v>
      </c>
      <c r="F35" s="140" t="s">
        <v>36</v>
      </c>
      <c r="G35" s="140"/>
      <c r="H35" s="140"/>
      <c r="I35" s="140"/>
      <c r="J35" s="38">
        <f t="shared" si="4"/>
        <v>38581.919999999998</v>
      </c>
      <c r="K35" s="9" t="s">
        <v>123</v>
      </c>
      <c r="L35" s="18">
        <v>0</v>
      </c>
      <c r="M35" s="4">
        <f t="shared" si="5"/>
        <v>0</v>
      </c>
    </row>
    <row r="36" spans="1:13" x14ac:dyDescent="0.25">
      <c r="A36" s="27">
        <v>0.2</v>
      </c>
      <c r="D36" s="26"/>
      <c r="E36" s="46" t="s">
        <v>163</v>
      </c>
      <c r="F36" s="140" t="s">
        <v>37</v>
      </c>
      <c r="G36" s="140"/>
      <c r="H36" s="140"/>
      <c r="I36" s="140"/>
      <c r="J36" s="38">
        <f t="shared" si="4"/>
        <v>64303.200000000004</v>
      </c>
      <c r="K36" s="9" t="s">
        <v>123</v>
      </c>
      <c r="L36" s="18">
        <v>0</v>
      </c>
      <c r="M36" s="4">
        <f t="shared" si="5"/>
        <v>0</v>
      </c>
    </row>
    <row r="37" spans="1:13" x14ac:dyDescent="0.25">
      <c r="A37" s="27">
        <v>0.4</v>
      </c>
      <c r="D37" s="26"/>
      <c r="E37" s="46" t="s">
        <v>164</v>
      </c>
      <c r="F37" s="140" t="s">
        <v>38</v>
      </c>
      <c r="G37" s="140"/>
      <c r="H37" s="140"/>
      <c r="I37" s="140"/>
      <c r="J37" s="38">
        <f t="shared" si="4"/>
        <v>128606.40000000001</v>
      </c>
      <c r="K37" s="9" t="s">
        <v>123</v>
      </c>
      <c r="L37" s="18">
        <v>0</v>
      </c>
      <c r="M37" s="4">
        <f t="shared" si="5"/>
        <v>0</v>
      </c>
    </row>
    <row r="38" spans="1:13" x14ac:dyDescent="0.25">
      <c r="A38" s="27">
        <v>1.2</v>
      </c>
      <c r="D38" s="26"/>
      <c r="E38" s="46" t="s">
        <v>165</v>
      </c>
      <c r="F38" s="140" t="s">
        <v>40</v>
      </c>
      <c r="G38" s="140"/>
      <c r="H38" s="140"/>
      <c r="I38" s="140"/>
      <c r="J38" s="38">
        <f t="shared" si="4"/>
        <v>385819.2</v>
      </c>
      <c r="K38" s="9" t="s">
        <v>123</v>
      </c>
      <c r="L38" s="18">
        <v>0</v>
      </c>
      <c r="M38" s="4">
        <f t="shared" si="5"/>
        <v>0</v>
      </c>
    </row>
    <row r="39" spans="1:13" x14ac:dyDescent="0.25">
      <c r="A39" s="27">
        <v>1.85</v>
      </c>
      <c r="D39" s="26"/>
      <c r="E39" s="46" t="s">
        <v>166</v>
      </c>
      <c r="F39" s="140" t="s">
        <v>43</v>
      </c>
      <c r="G39" s="140"/>
      <c r="H39" s="140"/>
      <c r="I39" s="140"/>
      <c r="J39" s="38">
        <f t="shared" si="4"/>
        <v>594804.6</v>
      </c>
      <c r="K39" s="9" t="s">
        <v>123</v>
      </c>
      <c r="L39" s="18">
        <v>0</v>
      </c>
      <c r="M39" s="4">
        <f t="shared" si="5"/>
        <v>0</v>
      </c>
    </row>
    <row r="40" spans="1:13" x14ac:dyDescent="0.25">
      <c r="D40" s="26"/>
      <c r="E40" s="138"/>
      <c r="F40" s="138"/>
      <c r="G40" s="138"/>
      <c r="H40" s="138"/>
      <c r="I40" s="138"/>
      <c r="J40" s="138"/>
      <c r="K40" s="138"/>
      <c r="L40" s="138"/>
      <c r="M40" s="138"/>
    </row>
    <row r="41" spans="1:13" ht="15" customHeight="1" x14ac:dyDescent="0.25">
      <c r="D41" s="26"/>
      <c r="E41" s="16" t="s">
        <v>27</v>
      </c>
      <c r="F41" s="146" t="s">
        <v>26</v>
      </c>
      <c r="G41" s="146"/>
      <c r="H41" s="146"/>
      <c r="I41" s="146"/>
      <c r="J41" s="146"/>
      <c r="K41" s="146"/>
      <c r="L41" s="146"/>
      <c r="M41" s="146"/>
    </row>
    <row r="42" spans="1:13" x14ac:dyDescent="0.25">
      <c r="A42" s="27">
        <v>0.75</v>
      </c>
      <c r="D42" s="26"/>
      <c r="E42" s="46" t="s">
        <v>167</v>
      </c>
      <c r="F42" s="140" t="s">
        <v>44</v>
      </c>
      <c r="G42" s="140"/>
      <c r="H42" s="140"/>
      <c r="I42" s="140"/>
      <c r="J42" s="38">
        <f t="shared" ref="J42:J47" si="6">$I$71*A42</f>
        <v>241137</v>
      </c>
      <c r="K42" s="9" t="s">
        <v>123</v>
      </c>
      <c r="L42" s="18">
        <v>0</v>
      </c>
      <c r="M42" s="4">
        <f t="shared" ref="M42:M47" si="7">+L42*J42</f>
        <v>0</v>
      </c>
    </row>
    <row r="43" spans="1:13" x14ac:dyDescent="0.25">
      <c r="A43" s="27">
        <v>1.3</v>
      </c>
      <c r="D43" s="26"/>
      <c r="E43" s="46" t="s">
        <v>168</v>
      </c>
      <c r="F43" s="140" t="s">
        <v>45</v>
      </c>
      <c r="G43" s="140"/>
      <c r="H43" s="140"/>
      <c r="I43" s="140"/>
      <c r="J43" s="38">
        <f t="shared" si="6"/>
        <v>417970.8</v>
      </c>
      <c r="K43" s="9" t="s">
        <v>123</v>
      </c>
      <c r="L43" s="18">
        <v>0</v>
      </c>
      <c r="M43" s="4">
        <f t="shared" si="7"/>
        <v>0</v>
      </c>
    </row>
    <row r="44" spans="1:13" x14ac:dyDescent="0.25">
      <c r="A44" s="27">
        <v>1.9</v>
      </c>
      <c r="D44" s="26"/>
      <c r="E44" s="46" t="s">
        <v>169</v>
      </c>
      <c r="F44" s="140" t="s">
        <v>46</v>
      </c>
      <c r="G44" s="140"/>
      <c r="H44" s="140"/>
      <c r="I44" s="140"/>
      <c r="J44" s="38">
        <f t="shared" si="6"/>
        <v>610880.4</v>
      </c>
      <c r="K44" s="9" t="s">
        <v>123</v>
      </c>
      <c r="L44" s="18">
        <v>0</v>
      </c>
      <c r="M44" s="4">
        <f t="shared" si="7"/>
        <v>0</v>
      </c>
    </row>
    <row r="45" spans="1:13" x14ac:dyDescent="0.25">
      <c r="A45" s="27">
        <v>2.8</v>
      </c>
      <c r="D45" s="26"/>
      <c r="E45" s="46" t="s">
        <v>170</v>
      </c>
      <c r="F45" s="140" t="s">
        <v>47</v>
      </c>
      <c r="G45" s="140"/>
      <c r="H45" s="140"/>
      <c r="I45" s="140"/>
      <c r="J45" s="38">
        <f t="shared" si="6"/>
        <v>900244.79999999993</v>
      </c>
      <c r="K45" s="9" t="s">
        <v>123</v>
      </c>
      <c r="L45" s="18">
        <v>0</v>
      </c>
      <c r="M45" s="4">
        <f t="shared" si="7"/>
        <v>0</v>
      </c>
    </row>
    <row r="46" spans="1:13" x14ac:dyDescent="0.25">
      <c r="A46" s="27">
        <v>3.75</v>
      </c>
      <c r="D46" s="26"/>
      <c r="E46" s="46" t="s">
        <v>171</v>
      </c>
      <c r="F46" s="140" t="s">
        <v>48</v>
      </c>
      <c r="G46" s="140"/>
      <c r="H46" s="140"/>
      <c r="I46" s="140"/>
      <c r="J46" s="38">
        <f t="shared" si="6"/>
        <v>1205685</v>
      </c>
      <c r="K46" s="9" t="s">
        <v>123</v>
      </c>
      <c r="L46" s="18">
        <v>0</v>
      </c>
      <c r="M46" s="4">
        <f t="shared" si="7"/>
        <v>0</v>
      </c>
    </row>
    <row r="47" spans="1:13" x14ac:dyDescent="0.25">
      <c r="A47" s="27">
        <v>5</v>
      </c>
      <c r="D47" s="26"/>
      <c r="E47" s="46" t="s">
        <v>172</v>
      </c>
      <c r="F47" s="140" t="s">
        <v>49</v>
      </c>
      <c r="G47" s="140"/>
      <c r="H47" s="140"/>
      <c r="I47" s="140"/>
      <c r="J47" s="38">
        <f t="shared" si="6"/>
        <v>1607580</v>
      </c>
      <c r="K47" s="9" t="s">
        <v>123</v>
      </c>
      <c r="L47" s="18">
        <v>0</v>
      </c>
      <c r="M47" s="4">
        <f t="shared" si="7"/>
        <v>0</v>
      </c>
    </row>
    <row r="48" spans="1:13" x14ac:dyDescent="0.25">
      <c r="D48" s="26"/>
      <c r="E48" s="6"/>
      <c r="F48" s="152"/>
      <c r="G48" s="152"/>
      <c r="H48" s="152"/>
      <c r="I48" s="152"/>
      <c r="J48" s="40"/>
      <c r="K48" s="9"/>
      <c r="L48" s="9"/>
      <c r="M48" s="4"/>
    </row>
    <row r="49" spans="1:13" x14ac:dyDescent="0.25">
      <c r="D49" s="26"/>
      <c r="E49" s="7" t="s">
        <v>28</v>
      </c>
      <c r="F49" s="136" t="s">
        <v>29</v>
      </c>
      <c r="G49" s="136"/>
      <c r="H49" s="136"/>
      <c r="I49" s="136"/>
      <c r="J49" s="136"/>
      <c r="K49" s="136"/>
      <c r="L49" s="136"/>
      <c r="M49" s="136"/>
    </row>
    <row r="50" spans="1:13" ht="29.25" customHeight="1" x14ac:dyDescent="0.25">
      <c r="A50" s="29">
        <v>0.3</v>
      </c>
      <c r="D50" s="26"/>
      <c r="E50" s="46" t="s">
        <v>173</v>
      </c>
      <c r="F50" s="141" t="s">
        <v>50</v>
      </c>
      <c r="G50" s="141"/>
      <c r="H50" s="141"/>
      <c r="I50" s="141"/>
      <c r="J50" s="38">
        <f>$I$71*A50</f>
        <v>96454.8</v>
      </c>
      <c r="K50" s="9" t="s">
        <v>123</v>
      </c>
      <c r="L50" s="18">
        <v>0</v>
      </c>
      <c r="M50" s="4">
        <f>+L50*J50</f>
        <v>0</v>
      </c>
    </row>
    <row r="51" spans="1:13" ht="17.25" x14ac:dyDescent="0.25">
      <c r="A51" s="30">
        <v>4.0000000000000001E-3</v>
      </c>
      <c r="D51" s="26"/>
      <c r="E51" s="46" t="s">
        <v>175</v>
      </c>
      <c r="F51" s="141" t="s">
        <v>51</v>
      </c>
      <c r="G51" s="141"/>
      <c r="H51" s="141"/>
      <c r="I51" s="141"/>
      <c r="J51" s="41">
        <f>$I$71*A51</f>
        <v>1286.0640000000001</v>
      </c>
      <c r="K51" s="9" t="s">
        <v>125</v>
      </c>
      <c r="L51" s="19">
        <v>0</v>
      </c>
      <c r="M51" s="4">
        <f>+L51*J51</f>
        <v>0</v>
      </c>
    </row>
    <row r="52" spans="1:13" ht="51.75" customHeight="1" x14ac:dyDescent="0.25">
      <c r="A52" s="30"/>
      <c r="D52" s="26"/>
      <c r="E52" s="7" t="s">
        <v>174</v>
      </c>
      <c r="F52" s="146" t="s">
        <v>176</v>
      </c>
      <c r="G52" s="146"/>
      <c r="H52" s="146"/>
      <c r="I52" s="146"/>
      <c r="J52" s="41"/>
      <c r="K52" s="9"/>
      <c r="L52" s="21"/>
      <c r="M52" s="4"/>
    </row>
    <row r="53" spans="1:13" ht="28.5" customHeight="1" x14ac:dyDescent="0.25">
      <c r="A53" s="29">
        <v>0.12</v>
      </c>
      <c r="D53" s="31"/>
      <c r="E53" s="46" t="s">
        <v>177</v>
      </c>
      <c r="F53" s="141" t="s">
        <v>31</v>
      </c>
      <c r="G53" s="141"/>
      <c r="H53" s="141"/>
      <c r="I53" s="141"/>
      <c r="J53" s="44">
        <f>$I$71*A53</f>
        <v>38581.919999999998</v>
      </c>
      <c r="K53" s="9" t="s">
        <v>123</v>
      </c>
      <c r="L53" s="22">
        <v>0</v>
      </c>
      <c r="M53" s="5">
        <f>+L53*J53</f>
        <v>0</v>
      </c>
    </row>
    <row r="54" spans="1:13" x14ac:dyDescent="0.25">
      <c r="A54" s="27">
        <v>0.25</v>
      </c>
      <c r="D54" s="26"/>
      <c r="E54" s="46" t="s">
        <v>178</v>
      </c>
      <c r="F54" s="141" t="s">
        <v>30</v>
      </c>
      <c r="G54" s="141"/>
      <c r="H54" s="141"/>
      <c r="I54" s="141"/>
      <c r="J54" s="38">
        <f>$I$71*A54</f>
        <v>80379</v>
      </c>
      <c r="K54" s="9" t="s">
        <v>123</v>
      </c>
      <c r="L54" s="18">
        <v>0</v>
      </c>
      <c r="M54" s="5">
        <f>+L54*J54</f>
        <v>0</v>
      </c>
    </row>
    <row r="55" spans="1:13" x14ac:dyDescent="0.25">
      <c r="A55" s="27">
        <v>0.4</v>
      </c>
      <c r="D55" s="26"/>
      <c r="E55" s="46" t="s">
        <v>179</v>
      </c>
      <c r="F55" s="141" t="s">
        <v>52</v>
      </c>
      <c r="G55" s="141"/>
      <c r="H55" s="141"/>
      <c r="I55" s="141"/>
      <c r="J55" s="38">
        <f>$I$71*A55</f>
        <v>128606.40000000001</v>
      </c>
      <c r="K55" s="9" t="s">
        <v>123</v>
      </c>
      <c r="L55" s="18">
        <v>0</v>
      </c>
      <c r="M55" s="5">
        <f>+L55*J55</f>
        <v>0</v>
      </c>
    </row>
    <row r="56" spans="1:13" x14ac:dyDescent="0.25">
      <c r="A56" s="27"/>
      <c r="D56" s="26"/>
      <c r="E56" s="143"/>
      <c r="F56" s="143"/>
      <c r="G56" s="143"/>
      <c r="H56" s="143"/>
      <c r="I56" s="143"/>
      <c r="J56" s="143"/>
      <c r="K56" s="143"/>
      <c r="L56" s="143"/>
      <c r="M56" s="143"/>
    </row>
    <row r="57" spans="1:13" x14ac:dyDescent="0.25">
      <c r="A57" s="27"/>
      <c r="D57" s="26"/>
      <c r="E57" s="137" t="s">
        <v>354</v>
      </c>
      <c r="F57" s="137"/>
      <c r="G57" s="137"/>
      <c r="H57" s="137"/>
      <c r="I57" s="137"/>
      <c r="J57" s="137"/>
      <c r="K57" s="137"/>
      <c r="L57" s="137"/>
      <c r="M57" s="5">
        <f>SUM(M53:M55)+SUM(M42:M47)+SUM(M34:M39)+SUM(M25:M31)+SUM(M15:M22)+SUM(M11:M13)+SUM(M50:M51)</f>
        <v>0</v>
      </c>
    </row>
    <row r="58" spans="1:13" x14ac:dyDescent="0.25">
      <c r="E58" s="155"/>
      <c r="F58" s="155"/>
      <c r="G58" s="155"/>
      <c r="H58" s="155"/>
      <c r="I58" s="155"/>
      <c r="J58" s="155"/>
      <c r="K58" s="155"/>
      <c r="L58" s="155"/>
      <c r="M58" s="155"/>
    </row>
    <row r="59" spans="1:13" ht="30" customHeight="1" x14ac:dyDescent="0.25">
      <c r="C59" s="26"/>
      <c r="E59" s="157"/>
      <c r="F59" s="157"/>
      <c r="G59" s="157"/>
      <c r="H59" s="157"/>
      <c r="I59" s="157"/>
      <c r="J59" s="157"/>
      <c r="K59" s="157"/>
      <c r="L59" s="157"/>
      <c r="M59" s="157"/>
    </row>
    <row r="60" spans="1:13" x14ac:dyDescent="0.25">
      <c r="C60" s="26"/>
      <c r="E60" s="8"/>
      <c r="F60" s="8"/>
      <c r="G60" s="8"/>
      <c r="H60" s="8"/>
      <c r="I60" s="8"/>
      <c r="J60" s="8"/>
      <c r="K60" s="8"/>
      <c r="L60" s="8"/>
      <c r="M60" s="8"/>
    </row>
    <row r="61" spans="1:13" ht="15.75" thickBot="1" x14ac:dyDescent="0.3">
      <c r="E61" s="8"/>
      <c r="F61" s="8"/>
      <c r="G61" s="8"/>
      <c r="H61" s="8"/>
      <c r="I61" s="8"/>
      <c r="J61" s="2"/>
      <c r="K61" s="168" t="s">
        <v>106</v>
      </c>
      <c r="L61" s="168"/>
      <c r="M61" s="60">
        <f>+M57</f>
        <v>0</v>
      </c>
    </row>
    <row r="62" spans="1:13" ht="15.75" thickTop="1" x14ac:dyDescent="0.25">
      <c r="E62" s="8"/>
      <c r="F62" s="8"/>
      <c r="G62" s="8"/>
      <c r="H62" s="8"/>
      <c r="I62" s="8"/>
      <c r="J62" s="8"/>
      <c r="K62" s="59"/>
      <c r="L62" s="59"/>
      <c r="M62" s="59"/>
    </row>
    <row r="63" spans="1:13" x14ac:dyDescent="0.25">
      <c r="E63" s="8"/>
      <c r="F63" s="8"/>
      <c r="G63" s="8"/>
      <c r="H63" s="8"/>
      <c r="I63" s="8"/>
      <c r="J63" s="8"/>
      <c r="K63" s="59"/>
      <c r="L63" s="59"/>
      <c r="M63" s="59"/>
    </row>
    <row r="64" spans="1:13" x14ac:dyDescent="0.25">
      <c r="E64" s="162" t="s">
        <v>308</v>
      </c>
      <c r="F64" s="163"/>
      <c r="G64" s="163"/>
      <c r="H64" s="163"/>
      <c r="I64" s="164"/>
      <c r="J64" s="162" t="s">
        <v>379</v>
      </c>
      <c r="K64" s="163"/>
      <c r="L64" s="163"/>
      <c r="M64" s="164"/>
    </row>
    <row r="65" spans="5:13" ht="15" customHeight="1" x14ac:dyDescent="0.25">
      <c r="E65" s="161" t="s">
        <v>309</v>
      </c>
      <c r="F65" s="156"/>
      <c r="G65" s="156"/>
      <c r="H65" s="156"/>
      <c r="I65" s="100">
        <v>292.3</v>
      </c>
      <c r="J65" s="161" t="s">
        <v>280</v>
      </c>
      <c r="K65" s="156"/>
      <c r="L65" s="156"/>
      <c r="M65" s="102">
        <v>147.1</v>
      </c>
    </row>
    <row r="66" spans="5:13" ht="15" customHeight="1" x14ac:dyDescent="0.25">
      <c r="E66" s="161" t="s">
        <v>356</v>
      </c>
      <c r="F66" s="156"/>
      <c r="G66" s="156"/>
      <c r="H66" s="156"/>
      <c r="I66" s="70">
        <v>416.5</v>
      </c>
      <c r="J66" s="161" t="s">
        <v>281</v>
      </c>
      <c r="K66" s="156"/>
      <c r="L66" s="156"/>
      <c r="M66" s="102">
        <f>+Vísitölur_frá_Hagstofu[Byggingarvísitala jan]</f>
        <v>202.5</v>
      </c>
    </row>
    <row r="67" spans="5:13" ht="15" customHeight="1" x14ac:dyDescent="0.25">
      <c r="E67" s="161" t="s">
        <v>310</v>
      </c>
      <c r="F67" s="156"/>
      <c r="G67" s="156"/>
      <c r="H67" s="156"/>
      <c r="I67" s="100">
        <v>712.1</v>
      </c>
      <c r="J67" s="103"/>
      <c r="K67" s="8"/>
      <c r="L67" s="8"/>
      <c r="M67" s="100"/>
    </row>
    <row r="68" spans="5:13" ht="15" customHeight="1" x14ac:dyDescent="0.25">
      <c r="E68" s="161" t="s">
        <v>311</v>
      </c>
      <c r="F68" s="156"/>
      <c r="G68" s="156"/>
      <c r="H68" s="156"/>
      <c r="I68" s="102">
        <f>+Vísitölur_frá_Hagstofu[Vísitala]</f>
        <v>1030.5999999999999</v>
      </c>
      <c r="J68" s="103"/>
      <c r="K68" s="8"/>
      <c r="L68" s="8"/>
      <c r="M68" s="100"/>
    </row>
    <row r="69" spans="5:13" ht="15" customHeight="1" x14ac:dyDescent="0.25">
      <c r="E69" s="161" t="s">
        <v>312</v>
      </c>
      <c r="F69" s="156"/>
      <c r="G69" s="156"/>
      <c r="H69" s="156"/>
      <c r="I69" s="102" t="e">
        <f>+Vísitölur_frá_Hagstofu[Rúmmetraverð]</f>
        <v>#DIV/0!</v>
      </c>
      <c r="J69" s="103"/>
      <c r="K69" s="8"/>
      <c r="L69" s="8"/>
      <c r="M69" s="100"/>
    </row>
    <row r="70" spans="5:13" ht="15" customHeight="1" x14ac:dyDescent="0.25">
      <c r="E70" s="161" t="s">
        <v>254</v>
      </c>
      <c r="F70" s="156"/>
      <c r="G70" s="156"/>
      <c r="H70" s="156"/>
      <c r="I70" s="108">
        <v>117895</v>
      </c>
      <c r="J70" s="103"/>
      <c r="K70" s="8"/>
      <c r="L70" s="8"/>
      <c r="M70" s="100"/>
    </row>
    <row r="71" spans="5:13" ht="15" customHeight="1" x14ac:dyDescent="0.25">
      <c r="E71" s="159" t="s">
        <v>313</v>
      </c>
      <c r="F71" s="160"/>
      <c r="G71" s="160"/>
      <c r="H71" s="160"/>
      <c r="I71" s="130">
        <f>+Vísitölur_frá_Hagstofu[Fermetraverð]</f>
        <v>321516</v>
      </c>
      <c r="J71" s="104"/>
      <c r="K71" s="105"/>
      <c r="L71" s="105"/>
      <c r="M71" s="101"/>
    </row>
    <row r="72" spans="5:13" x14ac:dyDescent="0.25">
      <c r="E72" s="8" t="str">
        <f>+Heild!E236</f>
        <v>Gjaldskrá fyrir byggingarleyfis- og þjónustugjöld í Svf. Ölfusi 31.1.2019</v>
      </c>
      <c r="F72" s="8"/>
      <c r="G72" s="8"/>
      <c r="H72" s="8"/>
      <c r="I72" s="8"/>
      <c r="J72" s="8"/>
      <c r="K72" s="8"/>
      <c r="L72" s="8"/>
      <c r="M72" s="8"/>
    </row>
    <row r="73" spans="5:13" x14ac:dyDescent="0.25">
      <c r="E73" s="8" t="str">
        <f>+Heild!E237</f>
        <v>Gjöld skv. samþykkt um gatnagerðargjöld fyrir Sveitarfélagið Ölfus, 20. ágúst 2020</v>
      </c>
      <c r="F73" s="8"/>
      <c r="G73" s="8"/>
      <c r="H73" s="8"/>
      <c r="I73" s="8"/>
      <c r="J73" s="8"/>
      <c r="K73" s="8"/>
      <c r="L73" s="8"/>
      <c r="M73" s="8"/>
    </row>
    <row r="74" spans="5:13" x14ac:dyDescent="0.25">
      <c r="E74" s="8" t="str">
        <f>+Heild!E238</f>
        <v>Það % hlutfall sem gefið er upp er hlutfall af vísitölu fermetrakostnaði við vísitölu hús byggt á grunni frá 1987.</v>
      </c>
      <c r="F74" s="8"/>
      <c r="G74" s="8"/>
      <c r="H74" s="8"/>
      <c r="I74" s="8"/>
      <c r="J74" s="8"/>
      <c r="K74" s="8"/>
      <c r="L74" s="8"/>
      <c r="M74" s="8"/>
    </row>
  </sheetData>
  <dataConsolidate link="1"/>
  <mergeCells count="75">
    <mergeCell ref="E71:H71"/>
    <mergeCell ref="E66:H66"/>
    <mergeCell ref="E67:H67"/>
    <mergeCell ref="E68:H68"/>
    <mergeCell ref="E69:H69"/>
    <mergeCell ref="E70:H70"/>
    <mergeCell ref="F52:I52"/>
    <mergeCell ref="F43:I43"/>
    <mergeCell ref="F44:I44"/>
    <mergeCell ref="F45:I45"/>
    <mergeCell ref="F46:I46"/>
    <mergeCell ref="F47:I47"/>
    <mergeCell ref="F48:I48"/>
    <mergeCell ref="F51:I51"/>
    <mergeCell ref="F49:M49"/>
    <mergeCell ref="F50:I50"/>
    <mergeCell ref="J66:L66"/>
    <mergeCell ref="E59:M59"/>
    <mergeCell ref="K61:L61"/>
    <mergeCell ref="E58:M58"/>
    <mergeCell ref="F53:I53"/>
    <mergeCell ref="F54:I54"/>
    <mergeCell ref="F55:I55"/>
    <mergeCell ref="E56:M56"/>
    <mergeCell ref="E57:L57"/>
    <mergeCell ref="E64:I64"/>
    <mergeCell ref="J64:M64"/>
    <mergeCell ref="E65:H65"/>
    <mergeCell ref="J65:L65"/>
    <mergeCell ref="F29:I29"/>
    <mergeCell ref="F30:I30"/>
    <mergeCell ref="F31:I31"/>
    <mergeCell ref="F32:I32"/>
    <mergeCell ref="F35:I35"/>
    <mergeCell ref="F37:I37"/>
    <mergeCell ref="F38:I38"/>
    <mergeCell ref="F39:I39"/>
    <mergeCell ref="F33:M33"/>
    <mergeCell ref="F34:I34"/>
    <mergeCell ref="E40:M40"/>
    <mergeCell ref="F41:M41"/>
    <mergeCell ref="F42:I42"/>
    <mergeCell ref="F28:I28"/>
    <mergeCell ref="F17:I17"/>
    <mergeCell ref="F18:I18"/>
    <mergeCell ref="F19:I19"/>
    <mergeCell ref="F20:I20"/>
    <mergeCell ref="F21:I21"/>
    <mergeCell ref="F22:I22"/>
    <mergeCell ref="F26:I26"/>
    <mergeCell ref="F27:I27"/>
    <mergeCell ref="E23:M23"/>
    <mergeCell ref="F24:M24"/>
    <mergeCell ref="F25:I25"/>
    <mergeCell ref="F36:I36"/>
    <mergeCell ref="F16:I16"/>
    <mergeCell ref="E8:I8"/>
    <mergeCell ref="F10:M10"/>
    <mergeCell ref="F12:I12"/>
    <mergeCell ref="F13:I13"/>
    <mergeCell ref="F14:I14"/>
    <mergeCell ref="F15:I15"/>
    <mergeCell ref="F11:I11"/>
    <mergeCell ref="E1:M1"/>
    <mergeCell ref="E2:M2"/>
    <mergeCell ref="F3:I3"/>
    <mergeCell ref="K3:M3"/>
    <mergeCell ref="F4:I4"/>
    <mergeCell ref="K4:M4"/>
    <mergeCell ref="F5:I5"/>
    <mergeCell ref="K5:M5"/>
    <mergeCell ref="F6:I6"/>
    <mergeCell ref="K6:M6"/>
    <mergeCell ref="E7:I7"/>
    <mergeCell ref="J7:M7"/>
  </mergeCells>
  <printOptions horizontalCentered="1"/>
  <pageMargins left="0.70866141732283472" right="0.70866141732283472" top="0.74803149606299213" bottom="0.74803149606299213" header="0.31496062992125984" footer="0.31496062992125984"/>
  <pageSetup paperSize="9" scale="73" fitToHeight="0" orientation="portrait" errors="dash" r:id="rId1"/>
  <headerFooter>
    <oddHeader>&amp;L&amp;G&amp;R&amp;D/&amp;T</oddHeader>
    <oddFooter>&amp;L&amp;F
Gjaldskrá - &amp;A&amp;R&amp;P/&amp;N</oddFooter>
  </headerFooter>
  <rowBreaks count="1" manualBreakCount="1">
    <brk id="48" min="4" max="12" man="1"/>
  </rowBreak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4EDF-DA71-49E2-B393-32D283150200}">
  <sheetPr codeName="Sheet4">
    <tabColor theme="5" tint="0.59999389629810485"/>
    <pageSetUpPr fitToPage="1"/>
  </sheetPr>
  <dimension ref="A1:O32"/>
  <sheetViews>
    <sheetView view="pageBreakPreview" topLeftCell="E1" zoomScaleNormal="100" zoomScaleSheetLayoutView="100" workbookViewId="0">
      <selection activeCell="L13" sqref="L13"/>
    </sheetView>
  </sheetViews>
  <sheetFormatPr defaultColWidth="9.140625" defaultRowHeight="15" outlineLevelCol="1" x14ac:dyDescent="0.25"/>
  <cols>
    <col min="1" max="4" width="9.140625" hidden="1" customWidth="1" outlineLevel="1"/>
    <col min="5" max="5" width="7.7109375" customWidth="1" collapsed="1"/>
    <col min="6" max="6" width="5.85546875" customWidth="1"/>
    <col min="7" max="7" width="14.42578125" customWidth="1"/>
    <col min="8" max="8" width="15.42578125" customWidth="1"/>
    <col min="9" max="9" width="15.5703125" customWidth="1"/>
    <col min="10" max="10" width="22.28515625" customWidth="1"/>
    <col min="11" max="11" width="5.28515625" customWidth="1"/>
    <col min="12" max="12" width="17.5703125" customWidth="1"/>
    <col min="13" max="13" width="15.42578125" customWidth="1"/>
    <col min="14" max="14" width="19" customWidth="1"/>
    <col min="15" max="15" width="13.85546875" customWidth="1"/>
    <col min="16" max="16" width="19.28515625" customWidth="1"/>
    <col min="17" max="17" width="15.7109375" customWidth="1"/>
  </cols>
  <sheetData>
    <row r="1" spans="1:15" ht="23.25" x14ac:dyDescent="0.25">
      <c r="E1" s="148" t="s">
        <v>1</v>
      </c>
      <c r="F1" s="148"/>
      <c r="G1" s="148"/>
      <c r="H1" s="148"/>
      <c r="I1" s="148"/>
      <c r="J1" s="148"/>
      <c r="K1" s="148"/>
      <c r="L1" s="148"/>
      <c r="M1" s="148"/>
      <c r="O1" s="1"/>
    </row>
    <row r="2" spans="1:15" ht="21" x14ac:dyDescent="0.25">
      <c r="E2" s="149" t="s">
        <v>0</v>
      </c>
      <c r="F2" s="149"/>
      <c r="G2" s="149"/>
      <c r="H2" s="149"/>
      <c r="I2" s="149"/>
      <c r="J2" s="149"/>
      <c r="K2" s="149"/>
      <c r="L2" s="149"/>
      <c r="M2" s="149"/>
      <c r="O2" s="1"/>
    </row>
    <row r="3" spans="1:15" x14ac:dyDescent="0.25">
      <c r="E3" s="49" t="s">
        <v>3</v>
      </c>
      <c r="F3" s="150"/>
      <c r="G3" s="150"/>
      <c r="H3" s="150"/>
      <c r="I3" s="150"/>
      <c r="J3" s="49" t="s">
        <v>4</v>
      </c>
      <c r="K3" s="150"/>
      <c r="L3" s="150"/>
      <c r="M3" s="150"/>
      <c r="O3" s="1"/>
    </row>
    <row r="4" spans="1:15" x14ac:dyDescent="0.25">
      <c r="E4" s="50" t="s">
        <v>133</v>
      </c>
      <c r="F4" s="144"/>
      <c r="G4" s="144"/>
      <c r="H4" s="144"/>
      <c r="I4" s="144"/>
      <c r="J4" s="50" t="s">
        <v>5</v>
      </c>
      <c r="K4" s="144"/>
      <c r="L4" s="144"/>
      <c r="M4" s="144"/>
      <c r="O4" s="1"/>
    </row>
    <row r="5" spans="1:15" x14ac:dyDescent="0.25">
      <c r="E5" s="50" t="s">
        <v>2</v>
      </c>
      <c r="F5" s="144"/>
      <c r="G5" s="144"/>
      <c r="H5" s="144"/>
      <c r="I5" s="144"/>
      <c r="J5" s="50" t="s">
        <v>6</v>
      </c>
      <c r="K5" s="144"/>
      <c r="L5" s="144"/>
      <c r="M5" s="144"/>
    </row>
    <row r="6" spans="1:15" x14ac:dyDescent="0.25">
      <c r="E6" s="51" t="s">
        <v>134</v>
      </c>
      <c r="F6" s="144"/>
      <c r="G6" s="144"/>
      <c r="H6" s="144"/>
      <c r="I6" s="144"/>
      <c r="J6" s="50" t="s">
        <v>7</v>
      </c>
      <c r="K6" s="144"/>
      <c r="L6" s="144"/>
      <c r="M6" s="144"/>
    </row>
    <row r="7" spans="1:15" x14ac:dyDescent="0.25">
      <c r="E7" s="151"/>
      <c r="F7" s="151"/>
      <c r="G7" s="151"/>
      <c r="H7" s="151"/>
      <c r="I7" s="151"/>
      <c r="J7" s="57"/>
      <c r="K7" s="57"/>
      <c r="L7" s="57"/>
      <c r="M7" s="57"/>
    </row>
    <row r="8" spans="1:15" ht="15.75" thickBot="1" x14ac:dyDescent="0.3">
      <c r="A8" s="25" t="s">
        <v>53</v>
      </c>
      <c r="E8" s="145"/>
      <c r="F8" s="145"/>
      <c r="G8" s="145"/>
      <c r="H8" s="145"/>
      <c r="I8" s="145"/>
      <c r="J8" s="52" t="s">
        <v>100</v>
      </c>
      <c r="K8" s="52" t="s">
        <v>105</v>
      </c>
      <c r="L8" s="52" t="s">
        <v>102</v>
      </c>
      <c r="M8" s="52" t="s">
        <v>101</v>
      </c>
    </row>
    <row r="9" spans="1:15" ht="2.25" customHeight="1" thickTop="1" x14ac:dyDescent="0.25">
      <c r="A9" s="25"/>
      <c r="E9" s="61"/>
      <c r="F9" s="61"/>
      <c r="G9" s="61"/>
      <c r="H9" s="61"/>
      <c r="I9" s="61"/>
      <c r="J9" s="57"/>
      <c r="K9" s="57"/>
      <c r="L9" s="57"/>
      <c r="M9" s="57"/>
    </row>
    <row r="10" spans="1:15" x14ac:dyDescent="0.25">
      <c r="D10" s="26"/>
      <c r="E10" s="7" t="s">
        <v>150</v>
      </c>
      <c r="F10" s="154" t="s">
        <v>57</v>
      </c>
      <c r="G10" s="154"/>
      <c r="H10" s="154"/>
      <c r="I10" s="154"/>
      <c r="J10" s="154"/>
      <c r="K10" s="154"/>
      <c r="L10" s="154"/>
      <c r="M10" s="154"/>
    </row>
    <row r="11" spans="1:15" ht="45" customHeight="1" x14ac:dyDescent="0.25">
      <c r="A11" s="29">
        <v>0.75</v>
      </c>
      <c r="D11" s="26"/>
      <c r="E11" s="46" t="s">
        <v>113</v>
      </c>
      <c r="F11" s="141" t="s">
        <v>58</v>
      </c>
      <c r="G11" s="141"/>
      <c r="H11" s="141"/>
      <c r="I11" s="141"/>
      <c r="J11" s="38">
        <f>$I$28*A11</f>
        <v>241137</v>
      </c>
      <c r="K11" s="9" t="s">
        <v>123</v>
      </c>
      <c r="L11" s="18">
        <v>0</v>
      </c>
      <c r="M11" s="4">
        <f>+L11*J11</f>
        <v>0</v>
      </c>
    </row>
    <row r="12" spans="1:15" x14ac:dyDescent="0.25">
      <c r="A12" s="27">
        <v>0.4</v>
      </c>
      <c r="D12" s="26"/>
      <c r="E12" s="46" t="s">
        <v>114</v>
      </c>
      <c r="F12" s="140" t="s">
        <v>59</v>
      </c>
      <c r="G12" s="140"/>
      <c r="H12" s="140"/>
      <c r="I12" s="140"/>
      <c r="J12" s="38">
        <f>$I$28*A12</f>
        <v>128606.40000000001</v>
      </c>
      <c r="K12" s="9" t="s">
        <v>123</v>
      </c>
      <c r="L12" s="18">
        <v>0</v>
      </c>
      <c r="M12" s="4">
        <f>+L12*J12</f>
        <v>0</v>
      </c>
    </row>
    <row r="13" spans="1:15" ht="30" customHeight="1" x14ac:dyDescent="0.25">
      <c r="A13" s="27">
        <v>0.15</v>
      </c>
      <c r="D13" s="26"/>
      <c r="E13" s="46" t="s">
        <v>115</v>
      </c>
      <c r="F13" s="141" t="s">
        <v>60</v>
      </c>
      <c r="G13" s="141"/>
      <c r="H13" s="141"/>
      <c r="I13" s="141"/>
      <c r="J13" s="38">
        <f>$I$28*A13</f>
        <v>48227.4</v>
      </c>
      <c r="K13" s="9" t="s">
        <v>123</v>
      </c>
      <c r="L13" s="18">
        <v>0</v>
      </c>
      <c r="M13" s="4">
        <f>+L13*J13</f>
        <v>0</v>
      </c>
    </row>
    <row r="14" spans="1:15" ht="18.75" customHeight="1" x14ac:dyDescent="0.25">
      <c r="A14" s="27"/>
      <c r="D14" s="26"/>
      <c r="E14" s="143"/>
      <c r="F14" s="143"/>
      <c r="G14" s="143"/>
      <c r="H14" s="143"/>
      <c r="I14" s="143"/>
      <c r="J14" s="143"/>
      <c r="K14" s="143"/>
      <c r="L14" s="143"/>
      <c r="M14" s="143"/>
    </row>
    <row r="15" spans="1:15" ht="21" customHeight="1" collapsed="1" x14ac:dyDescent="0.25">
      <c r="A15" s="27"/>
      <c r="D15" s="26"/>
      <c r="E15" s="137" t="s">
        <v>353</v>
      </c>
      <c r="F15" s="137"/>
      <c r="G15" s="137"/>
      <c r="H15" s="137"/>
      <c r="I15" s="137"/>
      <c r="J15" s="137"/>
      <c r="K15" s="137"/>
      <c r="L15" s="137"/>
      <c r="M15" s="4">
        <f>SUM(M11:M13)</f>
        <v>0</v>
      </c>
    </row>
    <row r="16" spans="1:15" ht="30" customHeight="1" x14ac:dyDescent="0.25">
      <c r="C16" s="26"/>
      <c r="E16" s="157"/>
      <c r="F16" s="157"/>
      <c r="G16" s="157"/>
      <c r="H16" s="157"/>
      <c r="I16" s="157"/>
      <c r="J16" s="157"/>
      <c r="K16" s="157"/>
      <c r="L16" s="157"/>
      <c r="M16" s="157"/>
    </row>
    <row r="17" spans="3:13" x14ac:dyDescent="0.25">
      <c r="C17" s="26"/>
      <c r="E17" s="8"/>
      <c r="F17" s="8"/>
      <c r="G17" s="8"/>
      <c r="H17" s="8"/>
      <c r="I17" s="8"/>
      <c r="J17" s="8"/>
      <c r="K17" s="8"/>
      <c r="L17" s="8"/>
      <c r="M17" s="8"/>
    </row>
    <row r="18" spans="3:13" ht="15.75" thickBot="1" x14ac:dyDescent="0.3">
      <c r="E18" s="8"/>
      <c r="F18" s="8"/>
      <c r="G18" s="8"/>
      <c r="H18" s="8"/>
      <c r="I18" s="8"/>
      <c r="J18" s="2"/>
      <c r="K18" s="168" t="s">
        <v>106</v>
      </c>
      <c r="L18" s="168"/>
      <c r="M18" s="60">
        <f>+M15</f>
        <v>0</v>
      </c>
    </row>
    <row r="19" spans="3:13" ht="15.75" thickTop="1" x14ac:dyDescent="0.25">
      <c r="E19" s="8"/>
      <c r="F19" s="8"/>
      <c r="G19" s="8"/>
      <c r="H19" s="8"/>
      <c r="I19" s="8"/>
      <c r="J19" s="8"/>
      <c r="K19" s="59"/>
      <c r="L19" s="59"/>
      <c r="M19" s="59"/>
    </row>
    <row r="20" spans="3:13" x14ac:dyDescent="0.25">
      <c r="E20" s="8"/>
      <c r="F20" s="8"/>
      <c r="G20" s="8"/>
      <c r="H20" s="8"/>
      <c r="I20" s="8"/>
      <c r="J20" s="8"/>
      <c r="K20" s="59"/>
      <c r="L20" s="59"/>
      <c r="M20" s="59"/>
    </row>
    <row r="21" spans="3:13" x14ac:dyDescent="0.25">
      <c r="E21" s="162" t="s">
        <v>308</v>
      </c>
      <c r="F21" s="163"/>
      <c r="G21" s="163"/>
      <c r="H21" s="163"/>
      <c r="I21" s="164"/>
      <c r="J21" s="162" t="s">
        <v>379</v>
      </c>
      <c r="K21" s="163"/>
      <c r="L21" s="163"/>
      <c r="M21" s="164"/>
    </row>
    <row r="22" spans="3:13" ht="15" customHeight="1" x14ac:dyDescent="0.25">
      <c r="E22" s="161" t="s">
        <v>309</v>
      </c>
      <c r="F22" s="156"/>
      <c r="G22" s="156"/>
      <c r="H22" s="156"/>
      <c r="I22" s="100">
        <v>292.3</v>
      </c>
      <c r="J22" s="161" t="s">
        <v>280</v>
      </c>
      <c r="K22" s="156"/>
      <c r="L22" s="156"/>
      <c r="M22" s="102">
        <v>147.1</v>
      </c>
    </row>
    <row r="23" spans="3:13" ht="15" customHeight="1" x14ac:dyDescent="0.25">
      <c r="E23" s="161" t="s">
        <v>356</v>
      </c>
      <c r="F23" s="156"/>
      <c r="G23" s="156"/>
      <c r="H23" s="156"/>
      <c r="I23" s="70">
        <v>416.5</v>
      </c>
      <c r="J23" s="161" t="s">
        <v>281</v>
      </c>
      <c r="K23" s="156"/>
      <c r="L23" s="156"/>
      <c r="M23" s="102">
        <f>+Vísitölur_frá_Hagstofu[Byggingarvísitala jan]</f>
        <v>202.5</v>
      </c>
    </row>
    <row r="24" spans="3:13" ht="15" customHeight="1" x14ac:dyDescent="0.25">
      <c r="E24" s="161" t="s">
        <v>310</v>
      </c>
      <c r="F24" s="156"/>
      <c r="G24" s="156"/>
      <c r="H24" s="156"/>
      <c r="I24" s="100">
        <v>712.1</v>
      </c>
      <c r="J24" s="103"/>
      <c r="K24" s="8"/>
      <c r="L24" s="8"/>
      <c r="M24" s="100"/>
    </row>
    <row r="25" spans="3:13" ht="15" customHeight="1" x14ac:dyDescent="0.25">
      <c r="E25" s="161" t="s">
        <v>311</v>
      </c>
      <c r="F25" s="156"/>
      <c r="G25" s="156"/>
      <c r="H25" s="156"/>
      <c r="I25" s="102">
        <f>+Vísitölur_frá_Hagstofu[Vísitala]</f>
        <v>1030.5999999999999</v>
      </c>
      <c r="J25" s="103"/>
      <c r="K25" s="8"/>
      <c r="L25" s="8"/>
      <c r="M25" s="100"/>
    </row>
    <row r="26" spans="3:13" ht="15" customHeight="1" x14ac:dyDescent="0.25">
      <c r="E26" s="161" t="s">
        <v>312</v>
      </c>
      <c r="F26" s="156"/>
      <c r="G26" s="156"/>
      <c r="H26" s="156"/>
      <c r="I26" s="102" t="e">
        <f>+Vísitölur_frá_Hagstofu[Rúmmetraverð]</f>
        <v>#DIV/0!</v>
      </c>
      <c r="J26" s="103"/>
      <c r="K26" s="8"/>
      <c r="L26" s="8"/>
      <c r="M26" s="100"/>
    </row>
    <row r="27" spans="3:13" ht="15" customHeight="1" x14ac:dyDescent="0.25">
      <c r="E27" s="161" t="s">
        <v>254</v>
      </c>
      <c r="F27" s="156"/>
      <c r="G27" s="156"/>
      <c r="H27" s="156"/>
      <c r="I27" s="108">
        <v>117895</v>
      </c>
      <c r="J27" s="103"/>
      <c r="K27" s="8"/>
      <c r="L27" s="8"/>
      <c r="M27" s="100"/>
    </row>
    <row r="28" spans="3:13" ht="15" customHeight="1" x14ac:dyDescent="0.25">
      <c r="E28" s="159" t="s">
        <v>313</v>
      </c>
      <c r="F28" s="160"/>
      <c r="G28" s="160"/>
      <c r="H28" s="160"/>
      <c r="I28" s="130">
        <f>+Vísitölur_frá_Hagstofu[Fermetraverð]</f>
        <v>321516</v>
      </c>
      <c r="J28" s="104"/>
      <c r="K28" s="105"/>
      <c r="L28" s="105"/>
      <c r="M28" s="101"/>
    </row>
    <row r="29" spans="3:13" x14ac:dyDescent="0.25">
      <c r="E29" s="8"/>
      <c r="F29" s="8"/>
      <c r="G29" s="8"/>
      <c r="H29" s="8"/>
      <c r="I29" s="8"/>
      <c r="J29" s="8"/>
      <c r="K29" s="59"/>
      <c r="L29" s="59"/>
      <c r="M29" s="59"/>
    </row>
    <row r="30" spans="3:13" x14ac:dyDescent="0.25">
      <c r="E30" s="8" t="str">
        <f>+Heild!E236</f>
        <v>Gjaldskrá fyrir byggingarleyfis- og þjónustugjöld í Svf. Ölfusi 31.1.2019</v>
      </c>
      <c r="F30" s="8"/>
      <c r="G30" s="8"/>
      <c r="H30" s="8"/>
      <c r="I30" s="8"/>
      <c r="J30" s="8"/>
      <c r="K30" s="8"/>
      <c r="L30" s="8"/>
      <c r="M30" s="8"/>
    </row>
    <row r="31" spans="3:13" x14ac:dyDescent="0.25">
      <c r="E31" s="8" t="str">
        <f>+Heild!E237</f>
        <v>Gjöld skv. samþykkt um gatnagerðargjöld fyrir Sveitarfélagið Ölfus, 20. ágúst 2020</v>
      </c>
      <c r="F31" s="8"/>
      <c r="G31" s="8"/>
      <c r="H31" s="8"/>
      <c r="I31" s="8"/>
      <c r="J31" s="8"/>
      <c r="K31" s="8"/>
      <c r="L31" s="8"/>
      <c r="M31" s="8"/>
    </row>
    <row r="32" spans="3:13" x14ac:dyDescent="0.25">
      <c r="E32" s="8" t="str">
        <f>+Heild!E238</f>
        <v>Það % hlutfall sem gefið er upp er hlutfall af vísitölu fermetrakostnaði við vísitölu hús byggt á grunni frá 1987.</v>
      </c>
      <c r="F32" s="8"/>
      <c r="G32" s="8"/>
      <c r="H32" s="8"/>
      <c r="I32" s="8"/>
      <c r="J32" s="8"/>
      <c r="K32" s="8"/>
      <c r="L32" s="8"/>
      <c r="M32" s="8"/>
    </row>
  </sheetData>
  <dataConsolidate link="1"/>
  <mergeCells count="31">
    <mergeCell ref="E28:H28"/>
    <mergeCell ref="E24:H24"/>
    <mergeCell ref="E25:H25"/>
    <mergeCell ref="E26:H26"/>
    <mergeCell ref="E27:H27"/>
    <mergeCell ref="E23:H23"/>
    <mergeCell ref="E21:I21"/>
    <mergeCell ref="J21:M21"/>
    <mergeCell ref="E22:H22"/>
    <mergeCell ref="J22:L22"/>
    <mergeCell ref="J23:L23"/>
    <mergeCell ref="E16:M16"/>
    <mergeCell ref="K18:L18"/>
    <mergeCell ref="F12:I12"/>
    <mergeCell ref="F13:I13"/>
    <mergeCell ref="F10:M10"/>
    <mergeCell ref="F11:I11"/>
    <mergeCell ref="E14:M14"/>
    <mergeCell ref="E15:L15"/>
    <mergeCell ref="E8:I8"/>
    <mergeCell ref="E1:M1"/>
    <mergeCell ref="E2:M2"/>
    <mergeCell ref="F3:I3"/>
    <mergeCell ref="K3:M3"/>
    <mergeCell ref="F4:I4"/>
    <mergeCell ref="K4:M4"/>
    <mergeCell ref="F5:I5"/>
    <mergeCell ref="K5:M5"/>
    <mergeCell ref="F6:I6"/>
    <mergeCell ref="K6:M6"/>
    <mergeCell ref="E7:I7"/>
  </mergeCells>
  <printOptions horizontalCentered="1"/>
  <pageMargins left="0.70866141732283472" right="0.70866141732283472" top="0.74803149606299213" bottom="0.74803149606299213" header="0.31496062992125984" footer="0.31496062992125984"/>
  <pageSetup paperSize="9" scale="73" fitToHeight="0" orientation="portrait" errors="dash" r:id="rId1"/>
  <headerFooter>
    <oddHeader>&amp;L&amp;G&amp;R&amp;D/&amp;T</oddHeader>
    <oddFooter>&amp;L&amp;F
Gjaldskrá - &amp;A&amp;R&amp;P/&amp;N</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4B00F-CF52-411B-9C5D-650592A2EC23}">
  <sheetPr codeName="Sheet5">
    <tabColor theme="5" tint="0.59999389629810485"/>
    <pageSetUpPr fitToPage="1"/>
  </sheetPr>
  <dimension ref="A1:O83"/>
  <sheetViews>
    <sheetView view="pageBreakPreview" topLeftCell="E18" zoomScaleNormal="100" zoomScaleSheetLayoutView="100" workbookViewId="0">
      <selection activeCell="E31" sqref="E31:M31"/>
    </sheetView>
  </sheetViews>
  <sheetFormatPr defaultColWidth="9.140625" defaultRowHeight="15" outlineLevelCol="1" x14ac:dyDescent="0.25"/>
  <cols>
    <col min="1" max="4" width="9.140625" hidden="1" customWidth="1" outlineLevel="1"/>
    <col min="5" max="5" width="7.7109375" customWidth="1" collapsed="1"/>
    <col min="6" max="6" width="5.85546875" customWidth="1"/>
    <col min="7" max="7" width="14.42578125" customWidth="1"/>
    <col min="8" max="8" width="15.42578125" customWidth="1"/>
    <col min="9" max="9" width="15.5703125" customWidth="1"/>
    <col min="10" max="10" width="22.28515625" customWidth="1"/>
    <col min="11" max="11" width="5.28515625" customWidth="1"/>
    <col min="12" max="12" width="17.5703125" customWidth="1"/>
    <col min="13" max="13" width="15.42578125" customWidth="1"/>
    <col min="14" max="14" width="19" customWidth="1"/>
    <col min="15" max="15" width="13.85546875" customWidth="1"/>
    <col min="16" max="16" width="19.28515625" customWidth="1"/>
    <col min="17" max="17" width="15.7109375" customWidth="1"/>
  </cols>
  <sheetData>
    <row r="1" spans="1:15" ht="23.25" x14ac:dyDescent="0.25">
      <c r="E1" s="148" t="s">
        <v>1</v>
      </c>
      <c r="F1" s="148"/>
      <c r="G1" s="148"/>
      <c r="H1" s="148"/>
      <c r="I1" s="148"/>
      <c r="J1" s="148"/>
      <c r="K1" s="148"/>
      <c r="L1" s="148"/>
      <c r="M1" s="148"/>
      <c r="O1" s="1"/>
    </row>
    <row r="2" spans="1:15" ht="21" x14ac:dyDescent="0.25">
      <c r="E2" s="149" t="s">
        <v>0</v>
      </c>
      <c r="F2" s="149"/>
      <c r="G2" s="149"/>
      <c r="H2" s="149"/>
      <c r="I2" s="149"/>
      <c r="J2" s="149"/>
      <c r="K2" s="149"/>
      <c r="L2" s="149"/>
      <c r="M2" s="149"/>
      <c r="O2" s="1"/>
    </row>
    <row r="3" spans="1:15" x14ac:dyDescent="0.25">
      <c r="E3" s="49" t="s">
        <v>3</v>
      </c>
      <c r="F3" s="150"/>
      <c r="G3" s="150"/>
      <c r="H3" s="150"/>
      <c r="I3" s="150"/>
      <c r="J3" s="49" t="s">
        <v>4</v>
      </c>
      <c r="K3" s="150"/>
      <c r="L3" s="150"/>
      <c r="M3" s="150"/>
      <c r="O3" s="1"/>
    </row>
    <row r="4" spans="1:15" x14ac:dyDescent="0.25">
      <c r="E4" s="50" t="s">
        <v>133</v>
      </c>
      <c r="F4" s="144"/>
      <c r="G4" s="144"/>
      <c r="H4" s="144"/>
      <c r="I4" s="144"/>
      <c r="J4" s="50" t="s">
        <v>5</v>
      </c>
      <c r="K4" s="144"/>
      <c r="L4" s="144"/>
      <c r="M4" s="144"/>
      <c r="O4" s="1"/>
    </row>
    <row r="5" spans="1:15" x14ac:dyDescent="0.25">
      <c r="E5" s="50" t="s">
        <v>2</v>
      </c>
      <c r="F5" s="144"/>
      <c r="G5" s="144"/>
      <c r="H5" s="144"/>
      <c r="I5" s="144"/>
      <c r="J5" s="50" t="s">
        <v>6</v>
      </c>
      <c r="K5" s="144"/>
      <c r="L5" s="144"/>
      <c r="M5" s="144"/>
    </row>
    <row r="6" spans="1:15" x14ac:dyDescent="0.25">
      <c r="E6" s="51" t="s">
        <v>134</v>
      </c>
      <c r="F6" s="144"/>
      <c r="G6" s="144"/>
      <c r="H6" s="144"/>
      <c r="I6" s="144"/>
      <c r="J6" s="50" t="s">
        <v>7</v>
      </c>
      <c r="K6" s="144"/>
      <c r="L6" s="144"/>
      <c r="M6" s="144"/>
    </row>
    <row r="7" spans="1:15" x14ac:dyDescent="0.25">
      <c r="E7" s="151"/>
      <c r="F7" s="151"/>
      <c r="G7" s="151"/>
      <c r="H7" s="151"/>
      <c r="I7" s="151"/>
      <c r="J7" s="57"/>
      <c r="K7" s="57"/>
      <c r="L7" s="57"/>
      <c r="M7" s="57"/>
    </row>
    <row r="8" spans="1:15" ht="15.75" thickBot="1" x14ac:dyDescent="0.3">
      <c r="A8" s="25" t="s">
        <v>53</v>
      </c>
      <c r="E8" s="145"/>
      <c r="F8" s="145"/>
      <c r="G8" s="145"/>
      <c r="H8" s="145"/>
      <c r="I8" s="145"/>
      <c r="J8" s="52" t="s">
        <v>100</v>
      </c>
      <c r="K8" s="52" t="s">
        <v>105</v>
      </c>
      <c r="L8" s="52" t="s">
        <v>102</v>
      </c>
      <c r="M8" s="52" t="s">
        <v>101</v>
      </c>
    </row>
    <row r="9" spans="1:15" ht="2.25" customHeight="1" thickTop="1" x14ac:dyDescent="0.25">
      <c r="A9" s="25"/>
      <c r="E9" s="61"/>
      <c r="F9" s="61"/>
      <c r="G9" s="61"/>
      <c r="H9" s="61"/>
      <c r="I9" s="61"/>
      <c r="J9" s="57"/>
      <c r="K9" s="57"/>
      <c r="L9" s="57"/>
      <c r="M9" s="57"/>
    </row>
    <row r="10" spans="1:15" ht="19.5" customHeight="1" collapsed="1" x14ac:dyDescent="0.25">
      <c r="D10" s="26"/>
      <c r="E10" s="62" t="s">
        <v>180</v>
      </c>
      <c r="F10" s="136" t="s">
        <v>149</v>
      </c>
      <c r="G10" s="136"/>
      <c r="H10" s="136"/>
      <c r="I10" s="136"/>
      <c r="J10" s="136"/>
      <c r="K10" s="136"/>
      <c r="L10" s="136"/>
      <c r="M10" s="136"/>
    </row>
    <row r="11" spans="1:15" ht="14.25" customHeight="1" x14ac:dyDescent="0.25">
      <c r="D11" s="26"/>
      <c r="E11" s="7" t="s">
        <v>68</v>
      </c>
      <c r="F11" s="154" t="s">
        <v>61</v>
      </c>
      <c r="G11" s="154"/>
      <c r="H11" s="154"/>
      <c r="I11" s="154"/>
      <c r="J11" s="154"/>
      <c r="K11" s="154"/>
      <c r="L11" s="154"/>
      <c r="M11" s="154"/>
    </row>
    <row r="12" spans="1:15" x14ac:dyDescent="0.25">
      <c r="A12" s="27">
        <v>7.0000000000000007E-2</v>
      </c>
      <c r="D12" s="26"/>
      <c r="E12" s="46" t="s">
        <v>116</v>
      </c>
      <c r="F12" s="140" t="s">
        <v>62</v>
      </c>
      <c r="G12" s="140"/>
      <c r="H12" s="140"/>
      <c r="I12" s="140"/>
      <c r="J12" s="38">
        <f>$I$79*A12</f>
        <v>22506.120000000003</v>
      </c>
      <c r="K12" s="9" t="s">
        <v>123</v>
      </c>
      <c r="L12" s="18">
        <v>0</v>
      </c>
      <c r="M12" s="4">
        <f>+L12*J12</f>
        <v>0</v>
      </c>
    </row>
    <row r="13" spans="1:15" x14ac:dyDescent="0.25">
      <c r="A13" s="1" t="s">
        <v>67</v>
      </c>
      <c r="E13" s="46" t="s">
        <v>120</v>
      </c>
      <c r="F13" s="140" t="s">
        <v>64</v>
      </c>
      <c r="G13" s="140"/>
      <c r="H13" s="140"/>
      <c r="I13" s="140"/>
      <c r="J13" s="153" t="s">
        <v>67</v>
      </c>
      <c r="K13" s="153"/>
      <c r="L13" s="9"/>
      <c r="M13" s="15">
        <v>0</v>
      </c>
    </row>
    <row r="14" spans="1:15" ht="30" customHeight="1" x14ac:dyDescent="0.25">
      <c r="A14" s="27">
        <v>0.75</v>
      </c>
      <c r="D14" s="26"/>
      <c r="E14" s="46" t="s">
        <v>181</v>
      </c>
      <c r="F14" s="141" t="s">
        <v>63</v>
      </c>
      <c r="G14" s="141"/>
      <c r="H14" s="141"/>
      <c r="I14" s="141"/>
      <c r="J14" s="38">
        <f>$I$79*A14</f>
        <v>241137</v>
      </c>
      <c r="K14" s="9" t="s">
        <v>123</v>
      </c>
      <c r="L14" s="18">
        <v>0</v>
      </c>
      <c r="M14" s="4">
        <f>+L14*J14</f>
        <v>0</v>
      </c>
    </row>
    <row r="15" spans="1:15" ht="30" customHeight="1" x14ac:dyDescent="0.25">
      <c r="A15" s="27">
        <v>0.3</v>
      </c>
      <c r="D15" s="26"/>
      <c r="E15" s="46" t="s">
        <v>182</v>
      </c>
      <c r="F15" s="141" t="s">
        <v>65</v>
      </c>
      <c r="G15" s="141"/>
      <c r="H15" s="141"/>
      <c r="I15" s="141"/>
      <c r="J15" s="38">
        <f>$I$79*A15</f>
        <v>96454.8</v>
      </c>
      <c r="K15" s="9" t="s">
        <v>123</v>
      </c>
      <c r="L15" s="18">
        <v>0</v>
      </c>
      <c r="M15" s="4">
        <f>+L15*J15</f>
        <v>0</v>
      </c>
    </row>
    <row r="16" spans="1:15" ht="30" customHeight="1" x14ac:dyDescent="0.25">
      <c r="A16" s="27">
        <v>0.5</v>
      </c>
      <c r="D16" s="26"/>
      <c r="E16" s="46" t="s">
        <v>183</v>
      </c>
      <c r="F16" s="141" t="s">
        <v>66</v>
      </c>
      <c r="G16" s="141"/>
      <c r="H16" s="141"/>
      <c r="I16" s="141"/>
      <c r="J16" s="38">
        <f>$I$79*A16</f>
        <v>160758</v>
      </c>
      <c r="K16" s="9" t="s">
        <v>123</v>
      </c>
      <c r="L16" s="18">
        <v>0</v>
      </c>
      <c r="M16" s="4">
        <f>+L16*J16</f>
        <v>0</v>
      </c>
    </row>
    <row r="17" spans="1:13" x14ac:dyDescent="0.25">
      <c r="A17" s="27"/>
      <c r="D17" s="26"/>
      <c r="E17" s="143"/>
      <c r="F17" s="143"/>
      <c r="G17" s="143"/>
      <c r="H17" s="143"/>
      <c r="I17" s="143"/>
      <c r="J17" s="143"/>
      <c r="K17" s="143"/>
      <c r="L17" s="143"/>
      <c r="M17" s="143"/>
    </row>
    <row r="18" spans="1:13" x14ac:dyDescent="0.25">
      <c r="A18" s="27"/>
      <c r="D18" s="26"/>
      <c r="E18" s="137" t="s">
        <v>349</v>
      </c>
      <c r="F18" s="137"/>
      <c r="G18" s="137"/>
      <c r="H18" s="137"/>
      <c r="I18" s="137"/>
      <c r="J18" s="137"/>
      <c r="K18" s="137"/>
      <c r="L18" s="137"/>
      <c r="M18" s="63">
        <f>+M16+M15+M14+M13+M12</f>
        <v>0</v>
      </c>
    </row>
    <row r="19" spans="1:13" x14ac:dyDescent="0.25">
      <c r="D19" s="26"/>
      <c r="E19" s="138"/>
      <c r="F19" s="138"/>
      <c r="G19" s="138"/>
      <c r="H19" s="138"/>
      <c r="I19" s="138"/>
      <c r="J19" s="138"/>
      <c r="K19" s="138"/>
      <c r="L19" s="138"/>
      <c r="M19" s="138"/>
    </row>
    <row r="20" spans="1:13" x14ac:dyDescent="0.25">
      <c r="D20" s="26"/>
      <c r="E20" s="7" t="s">
        <v>184</v>
      </c>
      <c r="F20" s="136" t="s">
        <v>69</v>
      </c>
      <c r="G20" s="136"/>
      <c r="H20" s="136"/>
      <c r="I20" s="136"/>
      <c r="J20" s="136"/>
      <c r="K20" s="136"/>
      <c r="L20" s="136"/>
      <c r="M20" s="136"/>
    </row>
    <row r="21" spans="1:13" x14ac:dyDescent="0.25">
      <c r="A21" s="27">
        <v>7.0000000000000007E-2</v>
      </c>
      <c r="D21" s="26"/>
      <c r="E21" s="46" t="s">
        <v>185</v>
      </c>
      <c r="F21" s="141" t="s">
        <v>62</v>
      </c>
      <c r="G21" s="141"/>
      <c r="H21" s="141"/>
      <c r="I21" s="141"/>
      <c r="J21" s="38">
        <f>$I$79*A21</f>
        <v>22506.120000000003</v>
      </c>
      <c r="K21" s="9" t="s">
        <v>123</v>
      </c>
      <c r="L21" s="18">
        <v>0</v>
      </c>
      <c r="M21" s="4">
        <f>+L21*J21</f>
        <v>0</v>
      </c>
    </row>
    <row r="22" spans="1:13" x14ac:dyDescent="0.25">
      <c r="A22" s="1" t="s">
        <v>67</v>
      </c>
      <c r="E22" s="46" t="s">
        <v>186</v>
      </c>
      <c r="F22" s="141" t="s">
        <v>70</v>
      </c>
      <c r="G22" s="141"/>
      <c r="H22" s="141"/>
      <c r="I22" s="141"/>
      <c r="J22" s="153" t="s">
        <v>67</v>
      </c>
      <c r="K22" s="153"/>
      <c r="L22" s="9"/>
      <c r="M22" s="15">
        <v>0</v>
      </c>
    </row>
    <row r="23" spans="1:13" ht="30" customHeight="1" x14ac:dyDescent="0.25">
      <c r="D23" s="26"/>
      <c r="E23" s="46" t="s">
        <v>187</v>
      </c>
      <c r="F23" s="141" t="s">
        <v>71</v>
      </c>
      <c r="G23" s="141"/>
      <c r="H23" s="141"/>
      <c r="I23" s="141"/>
      <c r="J23" s="38">
        <f>$I$79*A24</f>
        <v>241137</v>
      </c>
      <c r="K23" s="9" t="s">
        <v>123</v>
      </c>
      <c r="L23" s="18">
        <v>0</v>
      </c>
      <c r="M23" s="4">
        <f>+L23*J23</f>
        <v>0</v>
      </c>
    </row>
    <row r="24" spans="1:13" x14ac:dyDescent="0.25">
      <c r="A24" s="27">
        <v>0.75</v>
      </c>
      <c r="D24" s="26"/>
      <c r="E24" s="46"/>
      <c r="F24" s="141" t="s">
        <v>72</v>
      </c>
      <c r="G24" s="141"/>
      <c r="H24" s="141"/>
      <c r="I24" s="141"/>
      <c r="J24" s="40"/>
      <c r="K24" s="9"/>
      <c r="L24" s="9"/>
      <c r="M24" s="4"/>
    </row>
    <row r="25" spans="1:13" ht="30" customHeight="1" x14ac:dyDescent="0.25">
      <c r="A25" s="1" t="s">
        <v>67</v>
      </c>
      <c r="E25" s="46" t="s">
        <v>188</v>
      </c>
      <c r="F25" s="141" t="s">
        <v>73</v>
      </c>
      <c r="G25" s="141"/>
      <c r="H25" s="141"/>
      <c r="I25" s="141"/>
      <c r="J25" s="153" t="s">
        <v>67</v>
      </c>
      <c r="K25" s="153"/>
      <c r="L25" s="9"/>
      <c r="M25" s="15">
        <v>0</v>
      </c>
    </row>
    <row r="26" spans="1:13" s="11" customFormat="1" ht="30" customHeight="1" x14ac:dyDescent="0.25">
      <c r="A26" s="32">
        <v>0.75</v>
      </c>
      <c r="D26" s="33"/>
      <c r="E26" s="47" t="s">
        <v>189</v>
      </c>
      <c r="F26" s="141" t="s">
        <v>74</v>
      </c>
      <c r="G26" s="141"/>
      <c r="H26" s="141"/>
      <c r="I26" s="141"/>
      <c r="J26" s="43">
        <f>$I$79*A26</f>
        <v>241137</v>
      </c>
      <c r="K26" s="9" t="s">
        <v>123</v>
      </c>
      <c r="L26" s="23">
        <v>0</v>
      </c>
      <c r="M26" s="14">
        <f>+L26*J26</f>
        <v>0</v>
      </c>
    </row>
    <row r="27" spans="1:13" x14ac:dyDescent="0.25">
      <c r="D27" s="26"/>
      <c r="E27" s="46"/>
      <c r="F27" s="141" t="s">
        <v>75</v>
      </c>
      <c r="G27" s="141"/>
      <c r="H27" s="141"/>
      <c r="I27" s="141"/>
      <c r="J27" s="40"/>
      <c r="K27" s="9"/>
      <c r="L27" s="9"/>
      <c r="M27" s="4"/>
    </row>
    <row r="28" spans="1:13" ht="30" customHeight="1" x14ac:dyDescent="0.25">
      <c r="A28" s="27">
        <v>0.5</v>
      </c>
      <c r="D28" s="26"/>
      <c r="E28" s="46" t="s">
        <v>190</v>
      </c>
      <c r="F28" s="141" t="s">
        <v>76</v>
      </c>
      <c r="G28" s="141"/>
      <c r="H28" s="141"/>
      <c r="I28" s="141"/>
      <c r="J28" s="38">
        <f>$I$79*A28</f>
        <v>160758</v>
      </c>
      <c r="K28" s="9" t="s">
        <v>123</v>
      </c>
      <c r="L28" s="18">
        <v>0</v>
      </c>
      <c r="M28" s="4">
        <f>+L28*J28</f>
        <v>0</v>
      </c>
    </row>
    <row r="29" spans="1:13" ht="30" customHeight="1" x14ac:dyDescent="0.25">
      <c r="A29" s="27">
        <v>0.3</v>
      </c>
      <c r="D29" s="26"/>
      <c r="E29" s="46" t="s">
        <v>191</v>
      </c>
      <c r="F29" s="141" t="s">
        <v>77</v>
      </c>
      <c r="G29" s="141"/>
      <c r="H29" s="141"/>
      <c r="I29" s="141"/>
      <c r="J29" s="38">
        <f>$I$79*A29</f>
        <v>96454.8</v>
      </c>
      <c r="K29" s="9" t="s">
        <v>123</v>
      </c>
      <c r="L29" s="18">
        <v>0</v>
      </c>
      <c r="M29" s="4">
        <f>+L29*J29</f>
        <v>0</v>
      </c>
    </row>
    <row r="30" spans="1:13" s="12" customFormat="1" ht="30" customHeight="1" x14ac:dyDescent="0.25">
      <c r="A30" s="34">
        <v>0.13</v>
      </c>
      <c r="D30" s="35"/>
      <c r="E30" s="47" t="s">
        <v>192</v>
      </c>
      <c r="F30" s="141" t="s">
        <v>78</v>
      </c>
      <c r="G30" s="141"/>
      <c r="H30" s="141"/>
      <c r="I30" s="141"/>
      <c r="J30" s="42">
        <f>$I$79*A30</f>
        <v>41797.08</v>
      </c>
      <c r="K30" s="9" t="s">
        <v>123</v>
      </c>
      <c r="L30" s="24">
        <v>0</v>
      </c>
      <c r="M30" s="13">
        <f>+L30*J30</f>
        <v>0</v>
      </c>
    </row>
    <row r="31" spans="1:13" x14ac:dyDescent="0.25">
      <c r="D31" s="26"/>
      <c r="E31" s="143"/>
      <c r="F31" s="143"/>
      <c r="G31" s="143"/>
      <c r="H31" s="143"/>
      <c r="I31" s="143"/>
      <c r="J31" s="143"/>
      <c r="K31" s="143"/>
      <c r="L31" s="143"/>
      <c r="M31" s="143"/>
    </row>
    <row r="32" spans="1:13" x14ac:dyDescent="0.25">
      <c r="D32" s="26"/>
      <c r="E32" s="137" t="s">
        <v>350</v>
      </c>
      <c r="F32" s="137"/>
      <c r="G32" s="137"/>
      <c r="H32" s="137"/>
      <c r="I32" s="137"/>
      <c r="J32" s="137"/>
      <c r="K32" s="137"/>
      <c r="L32" s="137"/>
      <c r="M32" s="63">
        <f>+M30+M29+M28+M26+M25+M23+M22+M21</f>
        <v>0</v>
      </c>
    </row>
    <row r="33" spans="1:13" x14ac:dyDescent="0.25">
      <c r="D33" s="26"/>
      <c r="E33" s="138"/>
      <c r="F33" s="138"/>
      <c r="G33" s="138"/>
      <c r="H33" s="138"/>
      <c r="I33" s="138"/>
      <c r="J33" s="138"/>
      <c r="K33" s="138"/>
      <c r="L33" s="138"/>
      <c r="M33" s="138"/>
    </row>
    <row r="34" spans="1:13" x14ac:dyDescent="0.25">
      <c r="D34" s="26"/>
      <c r="E34" s="7" t="s">
        <v>193</v>
      </c>
      <c r="F34" s="142" t="s">
        <v>79</v>
      </c>
      <c r="G34" s="142"/>
      <c r="H34" s="142"/>
      <c r="I34" s="142"/>
      <c r="J34" s="142"/>
      <c r="K34" s="142"/>
      <c r="L34" s="142"/>
      <c r="M34" s="142"/>
    </row>
    <row r="35" spans="1:13" ht="30" customHeight="1" x14ac:dyDescent="0.25">
      <c r="A35" s="27">
        <v>0.15</v>
      </c>
      <c r="D35" s="26"/>
      <c r="E35" s="46" t="s">
        <v>194</v>
      </c>
      <c r="F35" s="141" t="s">
        <v>80</v>
      </c>
      <c r="G35" s="141"/>
      <c r="H35" s="141"/>
      <c r="I35" s="141"/>
      <c r="J35" s="38">
        <f>$I$79*A35</f>
        <v>48227.4</v>
      </c>
      <c r="K35" s="9" t="s">
        <v>123</v>
      </c>
      <c r="L35" s="18">
        <v>0</v>
      </c>
      <c r="M35" s="4">
        <f>+L35*J35</f>
        <v>0</v>
      </c>
    </row>
    <row r="36" spans="1:13" ht="30" customHeight="1" x14ac:dyDescent="0.25">
      <c r="A36" s="27">
        <v>0.1</v>
      </c>
      <c r="D36" s="26"/>
      <c r="E36" s="46" t="s">
        <v>195</v>
      </c>
      <c r="F36" s="141" t="s">
        <v>81</v>
      </c>
      <c r="G36" s="141"/>
      <c r="H36" s="141"/>
      <c r="I36" s="141"/>
      <c r="J36" s="38">
        <f>$I$79*A36</f>
        <v>32151.600000000002</v>
      </c>
      <c r="K36" s="9" t="s">
        <v>123</v>
      </c>
      <c r="L36" s="18">
        <v>0</v>
      </c>
      <c r="M36" s="4">
        <f>+L36*J36</f>
        <v>0</v>
      </c>
    </row>
    <row r="37" spans="1:13" ht="60" customHeight="1" x14ac:dyDescent="0.25">
      <c r="D37" s="26"/>
      <c r="E37" s="46" t="s">
        <v>226</v>
      </c>
      <c r="F37" s="141" t="s">
        <v>82</v>
      </c>
      <c r="G37" s="141"/>
      <c r="H37" s="141"/>
      <c r="I37" s="141"/>
      <c r="J37" s="4"/>
      <c r="K37" s="8"/>
      <c r="L37" s="8"/>
      <c r="M37" s="15">
        <v>0</v>
      </c>
    </row>
    <row r="38" spans="1:13" x14ac:dyDescent="0.25">
      <c r="D38" s="26"/>
      <c r="E38" s="143"/>
      <c r="F38" s="143"/>
      <c r="G38" s="143"/>
      <c r="H38" s="143"/>
      <c r="I38" s="143"/>
      <c r="J38" s="143"/>
      <c r="K38" s="143"/>
      <c r="L38" s="143"/>
      <c r="M38" s="143"/>
    </row>
    <row r="39" spans="1:13" x14ac:dyDescent="0.25">
      <c r="D39" s="26"/>
      <c r="E39" s="137" t="s">
        <v>351</v>
      </c>
      <c r="F39" s="137"/>
      <c r="G39" s="137"/>
      <c r="H39" s="137"/>
      <c r="I39" s="137"/>
      <c r="J39" s="137"/>
      <c r="K39" s="137"/>
      <c r="L39" s="137"/>
      <c r="M39" s="63">
        <f>+M37+M36+M35</f>
        <v>0</v>
      </c>
    </row>
    <row r="40" spans="1:13" x14ac:dyDescent="0.25">
      <c r="D40" s="26"/>
      <c r="E40" s="138"/>
      <c r="F40" s="138"/>
      <c r="G40" s="138"/>
      <c r="H40" s="138"/>
      <c r="I40" s="138"/>
      <c r="J40" s="138"/>
      <c r="K40" s="138"/>
      <c r="L40" s="138"/>
      <c r="M40" s="138"/>
    </row>
    <row r="41" spans="1:13" x14ac:dyDescent="0.25">
      <c r="D41" s="26"/>
      <c r="E41" s="16" t="s">
        <v>196</v>
      </c>
      <c r="F41" s="136" t="s">
        <v>83</v>
      </c>
      <c r="G41" s="136"/>
      <c r="H41" s="136"/>
      <c r="I41" s="136"/>
      <c r="J41" s="136"/>
      <c r="K41" s="136"/>
      <c r="L41" s="136"/>
      <c r="M41" s="136"/>
    </row>
    <row r="42" spans="1:13" ht="30" customHeight="1" x14ac:dyDescent="0.25">
      <c r="A42" s="27">
        <v>0.2</v>
      </c>
      <c r="D42" s="26"/>
      <c r="E42" s="46" t="s">
        <v>197</v>
      </c>
      <c r="F42" s="141" t="s">
        <v>219</v>
      </c>
      <c r="G42" s="141"/>
      <c r="H42" s="141"/>
      <c r="I42" s="141"/>
      <c r="J42" s="38">
        <f t="shared" ref="J42:J62" si="0">$I$79*A42</f>
        <v>64303.200000000004</v>
      </c>
      <c r="K42" s="9" t="s">
        <v>123</v>
      </c>
      <c r="L42" s="18">
        <v>0</v>
      </c>
      <c r="M42" s="4">
        <f t="shared" ref="M42:M61" si="1">+L42*J42</f>
        <v>0</v>
      </c>
    </row>
    <row r="43" spans="1:13" ht="30" customHeight="1" x14ac:dyDescent="0.25">
      <c r="A43" s="27">
        <v>0.1</v>
      </c>
      <c r="D43" s="26"/>
      <c r="E43" s="46" t="s">
        <v>198</v>
      </c>
      <c r="F43" s="141" t="s">
        <v>220</v>
      </c>
      <c r="G43" s="141"/>
      <c r="H43" s="141"/>
      <c r="I43" s="141"/>
      <c r="J43" s="38">
        <f t="shared" si="0"/>
        <v>32151.600000000002</v>
      </c>
      <c r="K43" s="9" t="s">
        <v>123</v>
      </c>
      <c r="L43" s="18">
        <v>0</v>
      </c>
      <c r="M43" s="4">
        <f t="shared" si="1"/>
        <v>0</v>
      </c>
    </row>
    <row r="44" spans="1:13" x14ac:dyDescent="0.25">
      <c r="A44" s="27">
        <v>7.0000000000000007E-2</v>
      </c>
      <c r="D44" s="26"/>
      <c r="E44" s="46" t="s">
        <v>199</v>
      </c>
      <c r="F44" s="140" t="s">
        <v>84</v>
      </c>
      <c r="G44" s="140"/>
      <c r="H44" s="140"/>
      <c r="I44" s="140"/>
      <c r="J44" s="38">
        <f t="shared" si="0"/>
        <v>22506.120000000003</v>
      </c>
      <c r="K44" s="9" t="s">
        <v>123</v>
      </c>
      <c r="L44" s="18">
        <v>0</v>
      </c>
      <c r="M44" s="4">
        <f t="shared" si="1"/>
        <v>0</v>
      </c>
    </row>
    <row r="45" spans="1:13" x14ac:dyDescent="0.25">
      <c r="A45" s="27">
        <v>0.1</v>
      </c>
      <c r="D45" s="26"/>
      <c r="E45" s="46" t="s">
        <v>200</v>
      </c>
      <c r="F45" s="140" t="s">
        <v>221</v>
      </c>
      <c r="G45" s="140"/>
      <c r="H45" s="140"/>
      <c r="I45" s="140"/>
      <c r="J45" s="38">
        <f t="shared" si="0"/>
        <v>32151.600000000002</v>
      </c>
      <c r="K45" s="9" t="s">
        <v>123</v>
      </c>
      <c r="L45" s="18">
        <v>0</v>
      </c>
      <c r="M45" s="4">
        <f t="shared" si="1"/>
        <v>0</v>
      </c>
    </row>
    <row r="46" spans="1:13" x14ac:dyDescent="0.25">
      <c r="A46" s="27">
        <v>0.05</v>
      </c>
      <c r="D46" s="26"/>
      <c r="E46" s="46" t="s">
        <v>201</v>
      </c>
      <c r="F46" s="140" t="s">
        <v>85</v>
      </c>
      <c r="G46" s="140"/>
      <c r="H46" s="140"/>
      <c r="I46" s="140"/>
      <c r="J46" s="38">
        <f t="shared" si="0"/>
        <v>16075.800000000001</v>
      </c>
      <c r="K46" s="9" t="s">
        <v>123</v>
      </c>
      <c r="L46" s="18">
        <v>0</v>
      </c>
      <c r="M46" s="4">
        <f t="shared" si="1"/>
        <v>0</v>
      </c>
    </row>
    <row r="47" spans="1:13" x14ac:dyDescent="0.25">
      <c r="A47" s="27">
        <v>0.05</v>
      </c>
      <c r="D47" s="26"/>
      <c r="E47" s="46" t="s">
        <v>202</v>
      </c>
      <c r="F47" s="140" t="s">
        <v>86</v>
      </c>
      <c r="G47" s="140"/>
      <c r="H47" s="140"/>
      <c r="I47" s="140"/>
      <c r="J47" s="38">
        <f t="shared" si="0"/>
        <v>16075.800000000001</v>
      </c>
      <c r="K47" s="9" t="s">
        <v>123</v>
      </c>
      <c r="L47" s="18">
        <v>0</v>
      </c>
      <c r="M47" s="4">
        <f t="shared" si="1"/>
        <v>0</v>
      </c>
    </row>
    <row r="48" spans="1:13" ht="30" customHeight="1" x14ac:dyDescent="0.25">
      <c r="A48" s="27">
        <v>0.05</v>
      </c>
      <c r="D48" s="26"/>
      <c r="E48" s="46" t="s">
        <v>203</v>
      </c>
      <c r="F48" s="141" t="s">
        <v>91</v>
      </c>
      <c r="G48" s="141"/>
      <c r="H48" s="141"/>
      <c r="I48" s="141"/>
      <c r="J48" s="38">
        <f t="shared" si="0"/>
        <v>16075.800000000001</v>
      </c>
      <c r="K48" s="9" t="s">
        <v>123</v>
      </c>
      <c r="L48" s="18">
        <v>0</v>
      </c>
      <c r="M48" s="4">
        <f t="shared" si="1"/>
        <v>0</v>
      </c>
    </row>
    <row r="49" spans="1:13" ht="30" customHeight="1" x14ac:dyDescent="0.25">
      <c r="A49" s="27">
        <v>0.03</v>
      </c>
      <c r="D49" s="26"/>
      <c r="E49" s="46" t="s">
        <v>204</v>
      </c>
      <c r="F49" s="141" t="s">
        <v>92</v>
      </c>
      <c r="G49" s="141"/>
      <c r="H49" s="141"/>
      <c r="I49" s="141"/>
      <c r="J49" s="38">
        <f t="shared" si="0"/>
        <v>9645.48</v>
      </c>
      <c r="K49" s="9" t="s">
        <v>123</v>
      </c>
      <c r="L49" s="18">
        <v>0</v>
      </c>
      <c r="M49" s="4">
        <f t="shared" si="1"/>
        <v>0</v>
      </c>
    </row>
    <row r="50" spans="1:13" x14ac:dyDescent="0.25">
      <c r="A50" s="27">
        <v>0.23</v>
      </c>
      <c r="D50" s="26"/>
      <c r="E50" s="46" t="s">
        <v>205</v>
      </c>
      <c r="F50" s="140" t="s">
        <v>87</v>
      </c>
      <c r="G50" s="140"/>
      <c r="H50" s="140"/>
      <c r="I50" s="140"/>
      <c r="J50" s="38">
        <f t="shared" si="0"/>
        <v>73948.680000000008</v>
      </c>
      <c r="K50" s="9" t="s">
        <v>123</v>
      </c>
      <c r="L50" s="18">
        <v>0</v>
      </c>
      <c r="M50" s="4">
        <f t="shared" si="1"/>
        <v>0</v>
      </c>
    </row>
    <row r="51" spans="1:13" x14ac:dyDescent="0.25">
      <c r="A51" s="27">
        <v>0.1</v>
      </c>
      <c r="D51" s="26"/>
      <c r="E51" s="46" t="s">
        <v>206</v>
      </c>
      <c r="F51" s="140" t="s">
        <v>88</v>
      </c>
      <c r="G51" s="140"/>
      <c r="H51" s="140"/>
      <c r="I51" s="140"/>
      <c r="J51" s="38">
        <f t="shared" si="0"/>
        <v>32151.600000000002</v>
      </c>
      <c r="K51" s="9" t="s">
        <v>123</v>
      </c>
      <c r="L51" s="18">
        <v>0</v>
      </c>
      <c r="M51" s="4">
        <f t="shared" si="1"/>
        <v>0</v>
      </c>
    </row>
    <row r="52" spans="1:13" x14ac:dyDescent="0.25">
      <c r="A52" s="27">
        <v>0.05</v>
      </c>
      <c r="D52" s="26"/>
      <c r="E52" s="46" t="s">
        <v>207</v>
      </c>
      <c r="F52" s="140" t="s">
        <v>89</v>
      </c>
      <c r="G52" s="140"/>
      <c r="H52" s="140"/>
      <c r="I52" s="140"/>
      <c r="J52" s="38">
        <f t="shared" si="0"/>
        <v>16075.800000000001</v>
      </c>
      <c r="K52" s="9" t="s">
        <v>123</v>
      </c>
      <c r="L52" s="18">
        <v>0</v>
      </c>
      <c r="M52" s="4">
        <f t="shared" si="1"/>
        <v>0</v>
      </c>
    </row>
    <row r="53" spans="1:13" ht="30" customHeight="1" x14ac:dyDescent="0.25">
      <c r="A53" s="27">
        <v>0.05</v>
      </c>
      <c r="D53" s="26"/>
      <c r="E53" s="46" t="s">
        <v>208</v>
      </c>
      <c r="F53" s="140" t="s">
        <v>90</v>
      </c>
      <c r="G53" s="140"/>
      <c r="H53" s="140"/>
      <c r="I53" s="140"/>
      <c r="J53" s="38">
        <f t="shared" si="0"/>
        <v>16075.800000000001</v>
      </c>
      <c r="K53" s="9" t="s">
        <v>123</v>
      </c>
      <c r="L53" s="18">
        <v>0</v>
      </c>
      <c r="M53" s="4">
        <f t="shared" si="1"/>
        <v>0</v>
      </c>
    </row>
    <row r="54" spans="1:13" x14ac:dyDescent="0.25">
      <c r="A54" s="27">
        <v>0.25</v>
      </c>
      <c r="D54" s="26"/>
      <c r="E54" s="46" t="s">
        <v>209</v>
      </c>
      <c r="F54" s="140" t="s">
        <v>93</v>
      </c>
      <c r="G54" s="140"/>
      <c r="H54" s="140"/>
      <c r="I54" s="140"/>
      <c r="J54" s="38">
        <f t="shared" si="0"/>
        <v>80379</v>
      </c>
      <c r="K54" s="9" t="s">
        <v>123</v>
      </c>
      <c r="L54" s="18">
        <v>0</v>
      </c>
      <c r="M54" s="4">
        <f t="shared" si="1"/>
        <v>0</v>
      </c>
    </row>
    <row r="55" spans="1:13" x14ac:dyDescent="0.25">
      <c r="A55" s="27">
        <v>0.03</v>
      </c>
      <c r="D55" s="26"/>
      <c r="E55" s="46" t="s">
        <v>210</v>
      </c>
      <c r="F55" s="140" t="s">
        <v>222</v>
      </c>
      <c r="G55" s="140"/>
      <c r="H55" s="140"/>
      <c r="I55" s="140"/>
      <c r="J55" s="38">
        <f t="shared" si="0"/>
        <v>9645.48</v>
      </c>
      <c r="K55" s="9" t="s">
        <v>123</v>
      </c>
      <c r="L55" s="18">
        <v>0</v>
      </c>
      <c r="M55" s="4">
        <f t="shared" si="1"/>
        <v>0</v>
      </c>
    </row>
    <row r="56" spans="1:13" x14ac:dyDescent="0.25">
      <c r="A56" s="27">
        <v>0.05</v>
      </c>
      <c r="D56" s="26"/>
      <c r="E56" s="46" t="s">
        <v>211</v>
      </c>
      <c r="F56" s="140" t="s">
        <v>94</v>
      </c>
      <c r="G56" s="140"/>
      <c r="H56" s="140"/>
      <c r="I56" s="140"/>
      <c r="J56" s="38">
        <f t="shared" si="0"/>
        <v>16075.800000000001</v>
      </c>
      <c r="K56" s="9" t="s">
        <v>123</v>
      </c>
      <c r="L56" s="18">
        <v>0</v>
      </c>
      <c r="M56" s="4">
        <f t="shared" si="1"/>
        <v>0</v>
      </c>
    </row>
    <row r="57" spans="1:13" ht="30" customHeight="1" x14ac:dyDescent="0.25">
      <c r="A57" s="27">
        <v>0.05</v>
      </c>
      <c r="D57" s="26"/>
      <c r="E57" s="46" t="s">
        <v>212</v>
      </c>
      <c r="F57" s="141" t="s">
        <v>95</v>
      </c>
      <c r="G57" s="141"/>
      <c r="H57" s="141"/>
      <c r="I57" s="141"/>
      <c r="J57" s="38">
        <f t="shared" si="0"/>
        <v>16075.800000000001</v>
      </c>
      <c r="K57" s="9" t="s">
        <v>123</v>
      </c>
      <c r="L57" s="18">
        <v>0</v>
      </c>
      <c r="M57" s="4">
        <f t="shared" si="1"/>
        <v>0</v>
      </c>
    </row>
    <row r="58" spans="1:13" x14ac:dyDescent="0.25">
      <c r="A58" s="27">
        <v>0.2</v>
      </c>
      <c r="D58" s="26"/>
      <c r="E58" s="46" t="s">
        <v>213</v>
      </c>
      <c r="F58" s="140" t="s">
        <v>96</v>
      </c>
      <c r="G58" s="140"/>
      <c r="H58" s="140"/>
      <c r="I58" s="140"/>
      <c r="J58" s="38">
        <f t="shared" si="0"/>
        <v>64303.200000000004</v>
      </c>
      <c r="K58" s="9" t="s">
        <v>123</v>
      </c>
      <c r="L58" s="18">
        <v>0</v>
      </c>
      <c r="M58" s="4">
        <f t="shared" si="1"/>
        <v>0</v>
      </c>
    </row>
    <row r="59" spans="1:13" x14ac:dyDescent="0.25">
      <c r="A59" s="27">
        <v>0.15</v>
      </c>
      <c r="D59" s="26"/>
      <c r="E59" s="46" t="s">
        <v>214</v>
      </c>
      <c r="F59" s="140" t="s">
        <v>97</v>
      </c>
      <c r="G59" s="140"/>
      <c r="H59" s="140"/>
      <c r="I59" s="140"/>
      <c r="J59" s="38">
        <f t="shared" si="0"/>
        <v>48227.4</v>
      </c>
      <c r="K59" s="9" t="s">
        <v>123</v>
      </c>
      <c r="L59" s="18">
        <v>0</v>
      </c>
      <c r="M59" s="4">
        <f t="shared" si="1"/>
        <v>0</v>
      </c>
    </row>
    <row r="60" spans="1:13" x14ac:dyDescent="0.25">
      <c r="A60" s="27">
        <v>0.15</v>
      </c>
      <c r="D60" s="26"/>
      <c r="E60" s="46" t="s">
        <v>215</v>
      </c>
      <c r="F60" s="140" t="s">
        <v>98</v>
      </c>
      <c r="G60" s="140"/>
      <c r="H60" s="140"/>
      <c r="I60" s="140"/>
      <c r="J60" s="38">
        <f t="shared" si="0"/>
        <v>48227.4</v>
      </c>
      <c r="K60" s="9" t="s">
        <v>123</v>
      </c>
      <c r="L60" s="18">
        <v>0</v>
      </c>
      <c r="M60" s="4">
        <f t="shared" si="1"/>
        <v>0</v>
      </c>
    </row>
    <row r="61" spans="1:13" x14ac:dyDescent="0.25">
      <c r="A61" s="27">
        <v>0.05</v>
      </c>
      <c r="D61" s="26"/>
      <c r="E61" s="46" t="s">
        <v>216</v>
      </c>
      <c r="F61" s="140" t="s">
        <v>99</v>
      </c>
      <c r="G61" s="140"/>
      <c r="H61" s="140"/>
      <c r="I61" s="140"/>
      <c r="J61" s="38">
        <f t="shared" si="0"/>
        <v>16075.800000000001</v>
      </c>
      <c r="K61" s="9" t="s">
        <v>123</v>
      </c>
      <c r="L61" s="18">
        <v>0</v>
      </c>
      <c r="M61" s="4">
        <f t="shared" si="1"/>
        <v>0</v>
      </c>
    </row>
    <row r="62" spans="1:13" x14ac:dyDescent="0.25">
      <c r="A62" s="27">
        <v>0.15</v>
      </c>
      <c r="D62" s="26"/>
      <c r="E62" s="46" t="s">
        <v>217</v>
      </c>
      <c r="F62" s="140" t="s">
        <v>218</v>
      </c>
      <c r="G62" s="140"/>
      <c r="H62" s="140"/>
      <c r="I62" s="140"/>
      <c r="J62" s="38">
        <f t="shared" si="0"/>
        <v>48227.4</v>
      </c>
      <c r="K62" s="9" t="s">
        <v>123</v>
      </c>
      <c r="L62" s="18">
        <v>0</v>
      </c>
      <c r="M62" s="4">
        <f>+L62*J62</f>
        <v>0</v>
      </c>
    </row>
    <row r="63" spans="1:13" ht="45" customHeight="1" x14ac:dyDescent="0.25">
      <c r="A63" s="27"/>
      <c r="D63" s="26"/>
      <c r="E63" s="46"/>
      <c r="F63" s="141" t="s">
        <v>225</v>
      </c>
      <c r="G63" s="141"/>
      <c r="H63" s="141"/>
      <c r="I63" s="141"/>
      <c r="J63" s="38"/>
      <c r="K63" s="9"/>
      <c r="L63" s="8"/>
      <c r="M63" s="15">
        <v>0</v>
      </c>
    </row>
    <row r="64" spans="1:13" ht="45" customHeight="1" x14ac:dyDescent="0.25">
      <c r="A64" s="27"/>
      <c r="D64" s="26"/>
      <c r="E64" s="46"/>
      <c r="F64" s="141" t="s">
        <v>224</v>
      </c>
      <c r="G64" s="141"/>
      <c r="H64" s="141"/>
      <c r="I64" s="141"/>
      <c r="J64" s="38"/>
      <c r="K64" s="9"/>
      <c r="L64" s="8"/>
      <c r="M64" s="15">
        <v>0</v>
      </c>
    </row>
    <row r="65" spans="3:13" x14ac:dyDescent="0.25">
      <c r="D65" s="26"/>
      <c r="E65" s="143"/>
      <c r="F65" s="143"/>
      <c r="G65" s="143"/>
      <c r="H65" s="143"/>
      <c r="I65" s="143"/>
      <c r="J65" s="143"/>
      <c r="K65" s="143"/>
      <c r="L65" s="143"/>
      <c r="M65" s="143"/>
    </row>
    <row r="66" spans="3:13" x14ac:dyDescent="0.25">
      <c r="D66" s="26"/>
      <c r="E66" s="137" t="s">
        <v>352</v>
      </c>
      <c r="F66" s="137"/>
      <c r="G66" s="137"/>
      <c r="H66" s="137"/>
      <c r="I66" s="137"/>
      <c r="J66" s="137"/>
      <c r="K66" s="137"/>
      <c r="L66" s="137"/>
      <c r="M66" s="63">
        <f>+M64+M63+M62+M61+M60+M59+M58+M57+M56+M55+M54+M53+M52+M51+M50+M49+M48+M47+M46+M45+M44+M43+M42</f>
        <v>0</v>
      </c>
    </row>
    <row r="67" spans="3:13" x14ac:dyDescent="0.25">
      <c r="D67" s="26"/>
      <c r="E67" s="138"/>
      <c r="F67" s="138"/>
      <c r="G67" s="138"/>
      <c r="H67" s="138"/>
      <c r="I67" s="138"/>
      <c r="J67" s="138"/>
      <c r="K67" s="138"/>
      <c r="L67" s="138"/>
      <c r="M67" s="138"/>
    </row>
    <row r="68" spans="3:13" x14ac:dyDescent="0.25">
      <c r="C68" s="26"/>
      <c r="E68" s="8"/>
      <c r="F68" s="8"/>
      <c r="G68" s="8"/>
      <c r="H68" s="8"/>
      <c r="I68" s="8"/>
      <c r="J68" s="8"/>
      <c r="K68" s="8"/>
      <c r="L68" s="8"/>
      <c r="M68" s="8"/>
    </row>
    <row r="69" spans="3:13" ht="15.75" thickBot="1" x14ac:dyDescent="0.3">
      <c r="E69" s="8"/>
      <c r="F69" s="8"/>
      <c r="G69" s="8"/>
      <c r="H69" s="8"/>
      <c r="I69" s="8"/>
      <c r="J69" s="2"/>
      <c r="K69" s="168" t="s">
        <v>106</v>
      </c>
      <c r="L69" s="168"/>
      <c r="M69" s="60"/>
    </row>
    <row r="70" spans="3:13" ht="15.75" thickTop="1" x14ac:dyDescent="0.25">
      <c r="E70" s="8"/>
      <c r="F70" s="8"/>
      <c r="G70" s="8"/>
      <c r="H70" s="8"/>
      <c r="I70" s="8"/>
      <c r="J70" s="8"/>
      <c r="K70" s="59"/>
      <c r="L70" s="59"/>
      <c r="M70" s="59"/>
    </row>
    <row r="71" spans="3:13" x14ac:dyDescent="0.25">
      <c r="E71" s="8"/>
      <c r="F71" s="8"/>
      <c r="G71" s="8"/>
      <c r="H71" s="8"/>
      <c r="I71" s="8"/>
      <c r="J71" s="8"/>
      <c r="K71" s="59"/>
      <c r="L71" s="59"/>
      <c r="M71" s="59"/>
    </row>
    <row r="72" spans="3:13" x14ac:dyDescent="0.25">
      <c r="E72" s="162" t="s">
        <v>308</v>
      </c>
      <c r="F72" s="163"/>
      <c r="G72" s="163"/>
      <c r="H72" s="163"/>
      <c r="I72" s="164"/>
      <c r="J72" s="162" t="s">
        <v>379</v>
      </c>
      <c r="K72" s="163"/>
      <c r="L72" s="163"/>
      <c r="M72" s="164"/>
    </row>
    <row r="73" spans="3:13" ht="15" customHeight="1" x14ac:dyDescent="0.25">
      <c r="E73" s="161" t="s">
        <v>309</v>
      </c>
      <c r="F73" s="156"/>
      <c r="G73" s="156"/>
      <c r="H73" s="156"/>
      <c r="I73" s="100">
        <v>292.3</v>
      </c>
      <c r="J73" s="161" t="s">
        <v>280</v>
      </c>
      <c r="K73" s="156"/>
      <c r="L73" s="156"/>
      <c r="M73" s="102">
        <v>147.1</v>
      </c>
    </row>
    <row r="74" spans="3:13" ht="15" customHeight="1" x14ac:dyDescent="0.25">
      <c r="E74" s="161" t="s">
        <v>356</v>
      </c>
      <c r="F74" s="156"/>
      <c r="G74" s="156"/>
      <c r="H74" s="156"/>
      <c r="I74" s="70">
        <v>416.5</v>
      </c>
      <c r="J74" s="161" t="s">
        <v>281</v>
      </c>
      <c r="K74" s="156"/>
      <c r="L74" s="156"/>
      <c r="M74" s="102">
        <f>+Vísitölur_frá_Hagstofu[Byggingarvísitala jan]</f>
        <v>202.5</v>
      </c>
    </row>
    <row r="75" spans="3:13" ht="15" customHeight="1" x14ac:dyDescent="0.25">
      <c r="E75" s="161" t="s">
        <v>310</v>
      </c>
      <c r="F75" s="156"/>
      <c r="G75" s="156"/>
      <c r="H75" s="156"/>
      <c r="I75" s="100">
        <v>712.1</v>
      </c>
      <c r="J75" s="103"/>
      <c r="K75" s="8"/>
      <c r="L75" s="8"/>
      <c r="M75" s="100"/>
    </row>
    <row r="76" spans="3:13" ht="15" customHeight="1" x14ac:dyDescent="0.25">
      <c r="E76" s="161" t="s">
        <v>311</v>
      </c>
      <c r="F76" s="156"/>
      <c r="G76" s="156"/>
      <c r="H76" s="156"/>
      <c r="I76" s="102">
        <f>+Vísitölur_frá_Hagstofu[Vísitala]</f>
        <v>1030.5999999999999</v>
      </c>
      <c r="J76" s="103"/>
      <c r="K76" s="8"/>
      <c r="L76" s="8"/>
      <c r="M76" s="100"/>
    </row>
    <row r="77" spans="3:13" ht="15" customHeight="1" x14ac:dyDescent="0.25">
      <c r="E77" s="161" t="s">
        <v>312</v>
      </c>
      <c r="F77" s="156"/>
      <c r="G77" s="156"/>
      <c r="H77" s="156"/>
      <c r="I77" s="102" t="e">
        <f>+Vísitölur_frá_Hagstofu[Rúmmetraverð]</f>
        <v>#DIV/0!</v>
      </c>
      <c r="J77" s="103"/>
      <c r="K77" s="8"/>
      <c r="L77" s="8"/>
      <c r="M77" s="100"/>
    </row>
    <row r="78" spans="3:13" ht="15" customHeight="1" x14ac:dyDescent="0.25">
      <c r="E78" s="161" t="s">
        <v>254</v>
      </c>
      <c r="F78" s="156"/>
      <c r="G78" s="156"/>
      <c r="H78" s="156"/>
      <c r="I78" s="108">
        <v>117895</v>
      </c>
      <c r="J78" s="103"/>
      <c r="K78" s="8"/>
      <c r="L78" s="8"/>
      <c r="M78" s="100"/>
    </row>
    <row r="79" spans="3:13" ht="15" customHeight="1" x14ac:dyDescent="0.25">
      <c r="E79" s="159" t="s">
        <v>313</v>
      </c>
      <c r="F79" s="160"/>
      <c r="G79" s="160"/>
      <c r="H79" s="160"/>
      <c r="I79" s="130">
        <f>+Vísitölur_frá_Hagstofu[Fermetraverð]</f>
        <v>321516</v>
      </c>
      <c r="J79" s="104"/>
      <c r="K79" s="105"/>
      <c r="L79" s="105"/>
      <c r="M79" s="101"/>
    </row>
    <row r="80" spans="3:13" x14ac:dyDescent="0.25">
      <c r="E80" s="8"/>
      <c r="F80" s="8"/>
      <c r="G80" s="8"/>
      <c r="H80" s="8"/>
      <c r="I80" s="8"/>
      <c r="J80" s="8"/>
      <c r="K80" s="59"/>
      <c r="L80" s="59"/>
      <c r="M80" s="59"/>
    </row>
    <row r="81" spans="5:13" x14ac:dyDescent="0.25">
      <c r="E81" s="8" t="str">
        <f>+Heild!E236</f>
        <v>Gjaldskrá fyrir byggingarleyfis- og þjónustugjöld í Svf. Ölfusi 31.1.2019</v>
      </c>
      <c r="F81" s="8"/>
      <c r="G81" s="8"/>
      <c r="H81" s="8"/>
      <c r="I81" s="8"/>
      <c r="J81" s="8"/>
      <c r="K81" s="8"/>
      <c r="L81" s="8"/>
      <c r="M81" s="8"/>
    </row>
    <row r="82" spans="5:13" x14ac:dyDescent="0.25">
      <c r="E82" s="8" t="str">
        <f>+Heild!E237</f>
        <v>Gjöld skv. samþykkt um gatnagerðargjöld fyrir Sveitarfélagið Ölfus, 20. ágúst 2020</v>
      </c>
      <c r="F82" s="8"/>
      <c r="G82" s="8"/>
      <c r="H82" s="8"/>
      <c r="I82" s="8"/>
      <c r="J82" s="8"/>
      <c r="K82" s="8"/>
      <c r="L82" s="8"/>
      <c r="M82" s="8"/>
    </row>
    <row r="83" spans="5:13" x14ac:dyDescent="0.25">
      <c r="E83" s="8" t="str">
        <f>+Heild!E238</f>
        <v>Það % hlutfall sem gefið er upp er hlutfall af vísitölu fermetrakostnaði við vísitölu hús byggt á grunni frá 1987.</v>
      </c>
      <c r="F83" s="8"/>
      <c r="G83" s="8"/>
      <c r="H83" s="8"/>
      <c r="I83" s="8"/>
      <c r="J83" s="8"/>
      <c r="K83" s="8"/>
      <c r="L83" s="8"/>
      <c r="M83" s="8"/>
    </row>
  </sheetData>
  <dataConsolidate link="1"/>
  <mergeCells count="85">
    <mergeCell ref="E32:L32"/>
    <mergeCell ref="E33:M33"/>
    <mergeCell ref="E79:H79"/>
    <mergeCell ref="E75:H75"/>
    <mergeCell ref="E76:H76"/>
    <mergeCell ref="E77:H77"/>
    <mergeCell ref="E78:H78"/>
    <mergeCell ref="F53:I53"/>
    <mergeCell ref="F54:I54"/>
    <mergeCell ref="F55:I55"/>
    <mergeCell ref="F56:I56"/>
    <mergeCell ref="F57:I57"/>
    <mergeCell ref="F48:I48"/>
    <mergeCell ref="F49:I49"/>
    <mergeCell ref="F50:I50"/>
    <mergeCell ref="F51:I51"/>
    <mergeCell ref="E31:M31"/>
    <mergeCell ref="F22:I22"/>
    <mergeCell ref="J22:K22"/>
    <mergeCell ref="F23:I23"/>
    <mergeCell ref="F24:I24"/>
    <mergeCell ref="F25:I25"/>
    <mergeCell ref="J25:K25"/>
    <mergeCell ref="F26:I26"/>
    <mergeCell ref="F27:I27"/>
    <mergeCell ref="F28:I28"/>
    <mergeCell ref="F29:I29"/>
    <mergeCell ref="F30:I30"/>
    <mergeCell ref="F52:I52"/>
    <mergeCell ref="E74:H74"/>
    <mergeCell ref="E72:I72"/>
    <mergeCell ref="J72:M72"/>
    <mergeCell ref="E73:H73"/>
    <mergeCell ref="J73:L73"/>
    <mergeCell ref="J74:L74"/>
    <mergeCell ref="F58:I58"/>
    <mergeCell ref="K69:L69"/>
    <mergeCell ref="F60:I60"/>
    <mergeCell ref="F61:I61"/>
    <mergeCell ref="F62:I62"/>
    <mergeCell ref="F63:I63"/>
    <mergeCell ref="F64:I64"/>
    <mergeCell ref="E65:M65"/>
    <mergeCell ref="E66:L66"/>
    <mergeCell ref="F5:I5"/>
    <mergeCell ref="K5:M5"/>
    <mergeCell ref="F6:I6"/>
    <mergeCell ref="K6:M6"/>
    <mergeCell ref="E7:I7"/>
    <mergeCell ref="E1:M1"/>
    <mergeCell ref="E2:M2"/>
    <mergeCell ref="F3:I3"/>
    <mergeCell ref="K3:M3"/>
    <mergeCell ref="F4:I4"/>
    <mergeCell ref="K4:M4"/>
    <mergeCell ref="E8:I8"/>
    <mergeCell ref="F21:I21"/>
    <mergeCell ref="F10:M10"/>
    <mergeCell ref="F11:M11"/>
    <mergeCell ref="F12:I12"/>
    <mergeCell ref="F13:I13"/>
    <mergeCell ref="J13:K13"/>
    <mergeCell ref="F14:I14"/>
    <mergeCell ref="F15:I15"/>
    <mergeCell ref="F16:I16"/>
    <mergeCell ref="F20:M20"/>
    <mergeCell ref="E17:M17"/>
    <mergeCell ref="E18:L18"/>
    <mergeCell ref="E19:M19"/>
    <mergeCell ref="E67:M67"/>
    <mergeCell ref="F59:I59"/>
    <mergeCell ref="F47:I47"/>
    <mergeCell ref="F34:M34"/>
    <mergeCell ref="F35:I35"/>
    <mergeCell ref="F36:I36"/>
    <mergeCell ref="F37:I37"/>
    <mergeCell ref="F41:M41"/>
    <mergeCell ref="F42:I42"/>
    <mergeCell ref="F43:I43"/>
    <mergeCell ref="F44:I44"/>
    <mergeCell ref="F45:I45"/>
    <mergeCell ref="F46:I46"/>
    <mergeCell ref="E39:L39"/>
    <mergeCell ref="E40:M40"/>
    <mergeCell ref="E38:M38"/>
  </mergeCells>
  <printOptions horizontalCentered="1"/>
  <pageMargins left="0.70866141732283472" right="0.70866141732283472" top="0.74803149606299213" bottom="0.74803149606299213" header="0.31496062992125984" footer="0.31496062992125984"/>
  <pageSetup paperSize="9" scale="57" fitToHeight="0" orientation="portrait" errors="dash" r:id="rId1"/>
  <headerFooter>
    <oddHeader>&amp;L&amp;G&amp;R&amp;D/&amp;T</oddHeader>
    <oddFooter>&amp;L&amp;F
Gjaldskrá - &amp;A&amp;R&amp;P/&amp;N</oddFooter>
  </headerFooter>
  <rowBreaks count="1" manualBreakCount="1">
    <brk id="40" min="4" max="14" man="1"/>
  </rowBreaks>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D50DA-9186-445E-8059-12C5DEC3BA09}">
  <sheetPr codeName="Sheet6">
    <tabColor theme="5" tint="0.59999389629810485"/>
  </sheetPr>
  <dimension ref="A1:R58"/>
  <sheetViews>
    <sheetView view="pageBreakPreview" topLeftCell="E3" zoomScaleNormal="100" zoomScaleSheetLayoutView="100" workbookViewId="0">
      <selection activeCell="L14" sqref="L14"/>
    </sheetView>
  </sheetViews>
  <sheetFormatPr defaultColWidth="9.140625" defaultRowHeight="15" outlineLevelCol="1" x14ac:dyDescent="0.25"/>
  <cols>
    <col min="1" max="1" width="9.140625" hidden="1" customWidth="1" outlineLevel="1"/>
    <col min="2" max="2" width="11.140625" hidden="1" customWidth="1" outlineLevel="1"/>
    <col min="3" max="3" width="5.7109375" hidden="1" customWidth="1" outlineLevel="1"/>
    <col min="4" max="4" width="12.42578125" hidden="1" customWidth="1" outlineLevel="1"/>
    <col min="5" max="5" width="7.7109375" customWidth="1" collapsed="1"/>
    <col min="6" max="6" width="5.28515625" customWidth="1"/>
    <col min="7" max="7" width="14.42578125" customWidth="1"/>
    <col min="8" max="8" width="15.42578125" customWidth="1"/>
    <col min="9" max="9" width="15.5703125" customWidth="1"/>
    <col min="10" max="10" width="22.28515625" customWidth="1"/>
    <col min="11" max="11" width="5.28515625" customWidth="1"/>
    <col min="12" max="12" width="17.5703125" customWidth="1"/>
    <col min="13" max="13" width="15.42578125" customWidth="1"/>
    <col min="14" max="14" width="19" customWidth="1"/>
    <col min="15" max="15" width="20.42578125" customWidth="1" outlineLevel="1"/>
    <col min="16" max="16" width="26.28515625" customWidth="1" outlineLevel="1"/>
    <col min="17" max="17" width="21.28515625" customWidth="1" outlineLevel="1"/>
    <col min="18" max="18" width="25" customWidth="1" outlineLevel="1"/>
    <col min="19" max="20" width="9.140625" customWidth="1"/>
  </cols>
  <sheetData>
    <row r="1" spans="1:15" ht="23.25" x14ac:dyDescent="0.25">
      <c r="E1" s="148" t="s">
        <v>1</v>
      </c>
      <c r="F1" s="148"/>
      <c r="G1" s="148"/>
      <c r="H1" s="148"/>
      <c r="I1" s="148"/>
      <c r="J1" s="148"/>
      <c r="K1" s="148"/>
      <c r="L1" s="148"/>
      <c r="M1" s="148"/>
      <c r="O1" s="1"/>
    </row>
    <row r="2" spans="1:15" ht="21" x14ac:dyDescent="0.25">
      <c r="E2" s="149" t="s">
        <v>0</v>
      </c>
      <c r="F2" s="149"/>
      <c r="G2" s="149"/>
      <c r="H2" s="149"/>
      <c r="I2" s="149"/>
      <c r="J2" s="149"/>
      <c r="K2" s="149"/>
      <c r="L2" s="149"/>
      <c r="M2" s="149"/>
      <c r="O2" s="1"/>
    </row>
    <row r="3" spans="1:15" x14ac:dyDescent="0.25">
      <c r="E3" s="49" t="s">
        <v>3</v>
      </c>
      <c r="F3" s="150"/>
      <c r="G3" s="150"/>
      <c r="H3" s="150"/>
      <c r="I3" s="150"/>
      <c r="J3" s="49" t="s">
        <v>4</v>
      </c>
      <c r="K3" s="150"/>
      <c r="L3" s="150"/>
      <c r="M3" s="150"/>
      <c r="O3" s="1"/>
    </row>
    <row r="4" spans="1:15" x14ac:dyDescent="0.25">
      <c r="E4" s="50" t="s">
        <v>133</v>
      </c>
      <c r="F4" s="144"/>
      <c r="G4" s="144"/>
      <c r="H4" s="144"/>
      <c r="I4" s="144"/>
      <c r="J4" s="50" t="s">
        <v>5</v>
      </c>
      <c r="K4" s="144"/>
      <c r="L4" s="144"/>
      <c r="M4" s="144"/>
      <c r="O4" s="1"/>
    </row>
    <row r="5" spans="1:15" x14ac:dyDescent="0.25">
      <c r="E5" s="50" t="s">
        <v>2</v>
      </c>
      <c r="F5" s="144"/>
      <c r="G5" s="144"/>
      <c r="H5" s="144"/>
      <c r="I5" s="144"/>
      <c r="J5" s="50" t="s">
        <v>6</v>
      </c>
      <c r="K5" s="144"/>
      <c r="L5" s="144"/>
      <c r="M5" s="144"/>
    </row>
    <row r="6" spans="1:15" x14ac:dyDescent="0.25">
      <c r="E6" s="51" t="s">
        <v>134</v>
      </c>
      <c r="F6" s="144"/>
      <c r="G6" s="144"/>
      <c r="H6" s="144"/>
      <c r="I6" s="144"/>
      <c r="J6" s="50" t="s">
        <v>7</v>
      </c>
      <c r="K6" s="144"/>
      <c r="L6" s="144"/>
      <c r="M6" s="144"/>
    </row>
    <row r="7" spans="1:15" x14ac:dyDescent="0.25">
      <c r="E7" s="151"/>
      <c r="F7" s="151"/>
      <c r="G7" s="151"/>
      <c r="H7" s="151"/>
      <c r="I7" s="151"/>
      <c r="J7" s="151"/>
      <c r="K7" s="151"/>
      <c r="L7" s="151"/>
      <c r="M7" s="151"/>
    </row>
    <row r="8" spans="1:15" ht="15.75" thickBot="1" x14ac:dyDescent="0.3">
      <c r="A8" s="25" t="s">
        <v>53</v>
      </c>
      <c r="E8" s="145"/>
      <c r="F8" s="145"/>
      <c r="G8" s="145"/>
      <c r="H8" s="145"/>
      <c r="I8" s="145"/>
      <c r="J8" s="52" t="s">
        <v>100</v>
      </c>
      <c r="K8" s="52"/>
      <c r="L8" s="52" t="s">
        <v>102</v>
      </c>
      <c r="M8" s="52" t="s">
        <v>101</v>
      </c>
    </row>
    <row r="9" spans="1:15" ht="2.25" customHeight="1" thickTop="1" x14ac:dyDescent="0.25">
      <c r="A9" s="25"/>
      <c r="E9" s="61"/>
      <c r="F9" s="61"/>
      <c r="G9" s="61"/>
      <c r="H9" s="61"/>
      <c r="I9" s="61"/>
      <c r="J9" s="57"/>
      <c r="K9" s="57"/>
      <c r="L9" s="57"/>
      <c r="M9" s="57"/>
    </row>
    <row r="10" spans="1:15" x14ac:dyDescent="0.25">
      <c r="D10" s="26"/>
      <c r="E10" s="16" t="s">
        <v>117</v>
      </c>
      <c r="F10" s="136" t="s">
        <v>132</v>
      </c>
      <c r="G10" s="136"/>
      <c r="H10" s="136"/>
      <c r="I10" s="136"/>
      <c r="J10" s="136"/>
      <c r="K10" s="136"/>
      <c r="L10" s="136"/>
      <c r="M10" s="136"/>
    </row>
    <row r="11" spans="1:15" ht="17.25" x14ac:dyDescent="0.25">
      <c r="B11" s="28"/>
      <c r="D11" s="26"/>
      <c r="E11" s="16"/>
      <c r="F11" s="69"/>
      <c r="G11" s="69"/>
      <c r="H11" s="69"/>
      <c r="I11" s="54" t="s">
        <v>128</v>
      </c>
      <c r="K11" s="69"/>
      <c r="L11" s="54" t="s">
        <v>129</v>
      </c>
      <c r="M11" s="69"/>
    </row>
    <row r="12" spans="1:15" x14ac:dyDescent="0.25">
      <c r="A12" s="17">
        <v>9.5000000000000001E-2</v>
      </c>
      <c r="B12" s="36"/>
      <c r="D12" s="36"/>
      <c r="E12" s="46" t="s">
        <v>118</v>
      </c>
      <c r="F12" s="139" t="s">
        <v>11</v>
      </c>
      <c r="G12" s="139"/>
      <c r="H12" s="170"/>
      <c r="I12" s="55">
        <v>0</v>
      </c>
      <c r="J12" s="53">
        <f>+A12*$I$54</f>
        <v>30544.02</v>
      </c>
      <c r="K12" s="9"/>
      <c r="L12" s="56">
        <v>0</v>
      </c>
      <c r="M12" s="4">
        <f>L12*I12*J12</f>
        <v>0</v>
      </c>
    </row>
    <row r="13" spans="1:15" ht="30.75" customHeight="1" x14ac:dyDescent="0.25">
      <c r="A13" s="17">
        <v>9.5000000000000001E-2</v>
      </c>
      <c r="B13" s="36"/>
      <c r="D13" s="36"/>
      <c r="E13" s="46" t="s">
        <v>119</v>
      </c>
      <c r="F13" s="139" t="s">
        <v>249</v>
      </c>
      <c r="G13" s="139"/>
      <c r="H13" s="170"/>
      <c r="I13" s="55">
        <v>0</v>
      </c>
      <c r="J13" s="53">
        <f>+A13*$I$54</f>
        <v>30544.02</v>
      </c>
      <c r="K13" s="9"/>
      <c r="L13" s="56">
        <v>0</v>
      </c>
      <c r="M13" s="4">
        <f>+L13*I13*J13</f>
        <v>0</v>
      </c>
    </row>
    <row r="14" spans="1:15" x14ac:dyDescent="0.25">
      <c r="A14" s="17">
        <v>7.4999999999999997E-2</v>
      </c>
      <c r="B14" s="36"/>
      <c r="D14" s="36"/>
      <c r="E14" s="46" t="s">
        <v>227</v>
      </c>
      <c r="F14" s="139" t="s">
        <v>250</v>
      </c>
      <c r="G14" s="139"/>
      <c r="H14" s="170"/>
      <c r="I14" s="55">
        <v>0</v>
      </c>
      <c r="J14" s="53">
        <f>+A14*$I$54</f>
        <v>24113.7</v>
      </c>
      <c r="K14" s="9"/>
      <c r="L14" s="56">
        <v>0</v>
      </c>
      <c r="M14" s="4">
        <f>+L14*J14*I14</f>
        <v>0</v>
      </c>
    </row>
    <row r="15" spans="1:15" x14ac:dyDescent="0.25">
      <c r="A15" s="17"/>
      <c r="B15" s="36"/>
      <c r="D15" s="36"/>
      <c r="E15" s="46"/>
      <c r="F15" s="46"/>
      <c r="G15" s="46"/>
      <c r="H15" s="46"/>
      <c r="I15" s="46"/>
      <c r="J15" s="46"/>
      <c r="K15" s="46"/>
      <c r="L15" s="46"/>
      <c r="M15" s="46"/>
    </row>
    <row r="16" spans="1:15" ht="31.5" customHeight="1" x14ac:dyDescent="0.25">
      <c r="A16" s="17">
        <v>0.05</v>
      </c>
      <c r="D16" s="10"/>
      <c r="E16" s="46" t="s">
        <v>228</v>
      </c>
      <c r="F16" s="139" t="s">
        <v>251</v>
      </c>
      <c r="G16" s="139"/>
      <c r="H16" s="139"/>
      <c r="I16" s="55">
        <v>0</v>
      </c>
      <c r="J16" s="53">
        <f>+A16*$I$54</f>
        <v>16075.800000000001</v>
      </c>
      <c r="K16" s="9"/>
      <c r="L16" s="56">
        <v>0</v>
      </c>
      <c r="M16" s="4">
        <f>+L16*J16*I16</f>
        <v>0</v>
      </c>
    </row>
    <row r="17" spans="1:13" ht="30" customHeight="1" x14ac:dyDescent="0.25">
      <c r="A17" s="17">
        <v>3.5000000000000003E-2</v>
      </c>
      <c r="D17" s="26"/>
      <c r="E17" s="46" t="s">
        <v>229</v>
      </c>
      <c r="F17" s="139" t="s">
        <v>252</v>
      </c>
      <c r="G17" s="139"/>
      <c r="H17" s="139"/>
      <c r="I17" s="55">
        <v>0</v>
      </c>
      <c r="J17" s="53">
        <f>+A17*$I$54</f>
        <v>11253.060000000001</v>
      </c>
      <c r="K17" s="9"/>
      <c r="L17" s="56">
        <v>0</v>
      </c>
      <c r="M17" s="4">
        <f>+L17*J17*I17</f>
        <v>0</v>
      </c>
    </row>
    <row r="18" spans="1:13" x14ac:dyDescent="0.25">
      <c r="A18" s="37">
        <v>0.02</v>
      </c>
      <c r="D18" s="26"/>
      <c r="E18" s="46" t="s">
        <v>230</v>
      </c>
      <c r="F18" s="139" t="s">
        <v>253</v>
      </c>
      <c r="G18" s="139"/>
      <c r="H18" s="139"/>
      <c r="I18" s="55">
        <v>0</v>
      </c>
      <c r="J18" s="53">
        <f>+A18*$I$54</f>
        <v>6430.32</v>
      </c>
      <c r="K18" s="9"/>
      <c r="L18" s="56">
        <v>0</v>
      </c>
      <c r="M18" s="4">
        <f>+L18*J18*I18</f>
        <v>0</v>
      </c>
    </row>
    <row r="19" spans="1:13" x14ac:dyDescent="0.25">
      <c r="A19" s="37"/>
      <c r="D19" s="26"/>
      <c r="E19" s="46"/>
      <c r="F19" s="46"/>
      <c r="G19" s="46"/>
      <c r="H19" s="46"/>
      <c r="I19" s="46"/>
      <c r="J19" s="46"/>
      <c r="K19" s="46"/>
      <c r="L19" s="46"/>
      <c r="M19" s="46"/>
    </row>
    <row r="20" spans="1:13" x14ac:dyDescent="0.25">
      <c r="D20" s="26"/>
      <c r="E20" s="137" t="s">
        <v>346</v>
      </c>
      <c r="F20" s="137"/>
      <c r="G20" s="137"/>
      <c r="H20" s="137"/>
      <c r="I20" s="137"/>
      <c r="J20" s="137"/>
      <c r="K20" s="137"/>
      <c r="L20" s="137"/>
      <c r="M20" s="63">
        <f>+M12+M13+M14+M16+M17+M18</f>
        <v>0</v>
      </c>
    </row>
    <row r="21" spans="1:13" x14ac:dyDescent="0.25">
      <c r="D21" s="26"/>
      <c r="E21" s="138"/>
      <c r="F21" s="138"/>
      <c r="G21" s="138"/>
      <c r="H21" s="138"/>
      <c r="I21" s="138"/>
      <c r="J21" s="138"/>
      <c r="K21" s="138"/>
      <c r="L21" s="138"/>
      <c r="M21" s="138"/>
    </row>
    <row r="22" spans="1:13" x14ac:dyDescent="0.25">
      <c r="D22" s="26"/>
      <c r="E22" s="16" t="s">
        <v>231</v>
      </c>
      <c r="F22" s="136" t="s">
        <v>255</v>
      </c>
      <c r="G22" s="136"/>
      <c r="H22" s="136"/>
      <c r="I22" s="136"/>
      <c r="J22" s="136"/>
      <c r="K22" s="136"/>
      <c r="L22" s="136"/>
      <c r="M22" s="136"/>
    </row>
    <row r="23" spans="1:13" ht="32.25" customHeight="1" x14ac:dyDescent="0.25">
      <c r="D23" s="26"/>
      <c r="E23" s="46" t="s">
        <v>232</v>
      </c>
      <c r="F23" s="139" t="s">
        <v>256</v>
      </c>
      <c r="G23" s="139"/>
      <c r="H23" s="170"/>
      <c r="I23" s="76"/>
      <c r="J23" s="53">
        <f>+J16</f>
        <v>16075.800000000001</v>
      </c>
      <c r="K23" s="9"/>
      <c r="L23" s="56">
        <v>0</v>
      </c>
      <c r="M23" s="4">
        <f>+L23*J23*0.25</f>
        <v>0</v>
      </c>
    </row>
    <row r="24" spans="1:13" ht="32.25" customHeight="1" x14ac:dyDescent="0.25">
      <c r="D24" s="26"/>
      <c r="E24" s="46" t="s">
        <v>233</v>
      </c>
      <c r="F24" s="139" t="s">
        <v>257</v>
      </c>
      <c r="G24" s="139"/>
      <c r="H24" s="170"/>
      <c r="I24" s="76"/>
      <c r="J24" s="53">
        <f>+J12</f>
        <v>30544.02</v>
      </c>
      <c r="K24" s="9"/>
      <c r="L24" s="56">
        <v>0</v>
      </c>
      <c r="M24" s="4">
        <f>+L24*J24*0.5</f>
        <v>0</v>
      </c>
    </row>
    <row r="25" spans="1:13" x14ac:dyDescent="0.25">
      <c r="D25" s="26"/>
      <c r="E25" s="46" t="s">
        <v>258</v>
      </c>
      <c r="F25" s="139" t="s">
        <v>259</v>
      </c>
      <c r="G25" s="139"/>
      <c r="H25" s="170"/>
      <c r="I25" s="76"/>
      <c r="J25" s="53">
        <f>+J13</f>
        <v>30544.02</v>
      </c>
      <c r="K25" s="9"/>
      <c r="L25" s="56">
        <v>0</v>
      </c>
      <c r="M25" s="4">
        <f>IF(L25&lt;20.01,J25*L25*0,J25*L25)</f>
        <v>0</v>
      </c>
    </row>
    <row r="26" spans="1:13" ht="30" customHeight="1" x14ac:dyDescent="0.25">
      <c r="D26" s="26"/>
      <c r="E26" s="46" t="s">
        <v>260</v>
      </c>
      <c r="F26" s="139" t="s">
        <v>261</v>
      </c>
      <c r="G26" s="139"/>
      <c r="H26" s="170"/>
      <c r="I26" s="76"/>
      <c r="J26" s="53">
        <f>+J17</f>
        <v>11253.060000000001</v>
      </c>
      <c r="K26" s="9"/>
      <c r="L26" s="56">
        <v>0</v>
      </c>
      <c r="M26" s="4">
        <f>+L26*J26*0.5</f>
        <v>0</v>
      </c>
    </row>
    <row r="27" spans="1:13" ht="30.75" customHeight="1" x14ac:dyDescent="0.25">
      <c r="D27" s="26"/>
      <c r="E27" s="46" t="s">
        <v>262</v>
      </c>
      <c r="F27" s="139" t="s">
        <v>268</v>
      </c>
      <c r="G27" s="139"/>
      <c r="H27" s="170"/>
      <c r="I27" s="76"/>
      <c r="J27" s="53">
        <f>+J18</f>
        <v>6430.32</v>
      </c>
      <c r="K27" s="9"/>
      <c r="L27" s="56">
        <v>0</v>
      </c>
      <c r="M27" s="4">
        <f>IF(L27&lt;15.01,J27*L27*0,J27*L27)</f>
        <v>0</v>
      </c>
    </row>
    <row r="28" spans="1:13" x14ac:dyDescent="0.25">
      <c r="D28" s="26"/>
      <c r="E28" s="46"/>
      <c r="F28" s="76"/>
      <c r="G28" s="76"/>
      <c r="H28" s="76"/>
      <c r="I28" s="76"/>
      <c r="J28" s="76"/>
      <c r="K28" s="76"/>
      <c r="L28" s="76"/>
      <c r="M28" s="76"/>
    </row>
    <row r="29" spans="1:13" x14ac:dyDescent="0.25">
      <c r="D29" s="26"/>
      <c r="E29" s="137" t="s">
        <v>347</v>
      </c>
      <c r="F29" s="137"/>
      <c r="G29" s="137"/>
      <c r="H29" s="137"/>
      <c r="I29" s="137"/>
      <c r="J29" s="137"/>
      <c r="K29" s="137"/>
      <c r="L29" s="137"/>
      <c r="M29" s="63">
        <f>+M23+M24+M25+M26+M27</f>
        <v>0</v>
      </c>
    </row>
    <row r="30" spans="1:13" x14ac:dyDescent="0.25">
      <c r="C30" s="26"/>
      <c r="E30" s="157"/>
      <c r="F30" s="157"/>
      <c r="G30" s="157"/>
      <c r="H30" s="157"/>
      <c r="I30" s="157"/>
      <c r="J30" s="157"/>
      <c r="K30" s="157"/>
      <c r="L30" s="157"/>
      <c r="M30" s="157"/>
    </row>
    <row r="31" spans="1:13" x14ac:dyDescent="0.25">
      <c r="C31" s="26"/>
      <c r="E31" s="16" t="s">
        <v>366</v>
      </c>
      <c r="F31" s="136" t="s">
        <v>358</v>
      </c>
      <c r="G31" s="136"/>
      <c r="H31" s="136"/>
      <c r="I31" s="136"/>
      <c r="J31" s="136"/>
      <c r="K31" s="136"/>
      <c r="L31" s="136"/>
      <c r="M31" s="136"/>
    </row>
    <row r="32" spans="1:13" ht="17.25" x14ac:dyDescent="0.25">
      <c r="C32" s="26"/>
      <c r="E32" s="16"/>
      <c r="F32" s="69"/>
      <c r="G32" s="69"/>
      <c r="H32" s="54" t="s">
        <v>365</v>
      </c>
      <c r="I32" s="54" t="s">
        <v>128</v>
      </c>
      <c r="K32" s="69"/>
      <c r="L32" s="54" t="s">
        <v>129</v>
      </c>
      <c r="M32" s="69"/>
    </row>
    <row r="33" spans="1:13" ht="15" customHeight="1" x14ac:dyDescent="0.25">
      <c r="A33" s="17">
        <v>9.5000000000000001E-2</v>
      </c>
      <c r="C33" s="26"/>
      <c r="E33" s="46" t="s">
        <v>359</v>
      </c>
      <c r="F33" s="139" t="s">
        <v>11</v>
      </c>
      <c r="G33" s="139"/>
      <c r="H33" s="121">
        <v>1</v>
      </c>
      <c r="I33" s="55">
        <v>0</v>
      </c>
      <c r="J33" s="53">
        <f>+A33*$I$54</f>
        <v>30544.02</v>
      </c>
      <c r="K33" s="9"/>
      <c r="L33" s="56">
        <v>0</v>
      </c>
      <c r="M33" s="4">
        <f>L33*I33*J33*H33</f>
        <v>0</v>
      </c>
    </row>
    <row r="34" spans="1:13" ht="49.5" customHeight="1" x14ac:dyDescent="0.25">
      <c r="A34" s="17">
        <v>9.5000000000000001E-2</v>
      </c>
      <c r="C34" s="26"/>
      <c r="E34" s="46" t="s">
        <v>360</v>
      </c>
      <c r="F34" s="139" t="s">
        <v>249</v>
      </c>
      <c r="G34" s="139"/>
      <c r="H34" s="121">
        <v>1</v>
      </c>
      <c r="I34" s="55">
        <v>0</v>
      </c>
      <c r="J34" s="53">
        <f>+A34*$I$54</f>
        <v>30544.02</v>
      </c>
      <c r="K34" s="9"/>
      <c r="L34" s="56">
        <v>0</v>
      </c>
      <c r="M34" s="4">
        <f t="shared" ref="M34:M39" si="0">L34*I34*J34*H34</f>
        <v>0</v>
      </c>
    </row>
    <row r="35" spans="1:13" ht="33.75" customHeight="1" x14ac:dyDescent="0.25">
      <c r="A35" s="17">
        <v>7.4999999999999997E-2</v>
      </c>
      <c r="C35" s="26"/>
      <c r="E35" s="46" t="s">
        <v>361</v>
      </c>
      <c r="F35" s="139" t="s">
        <v>250</v>
      </c>
      <c r="G35" s="139"/>
      <c r="H35" s="121">
        <v>1</v>
      </c>
      <c r="I35" s="55">
        <v>0</v>
      </c>
      <c r="J35" s="53">
        <f>+A35*$I$54</f>
        <v>24113.7</v>
      </c>
      <c r="K35" s="9"/>
      <c r="L35" s="56">
        <v>0</v>
      </c>
      <c r="M35" s="4">
        <f t="shared" si="0"/>
        <v>0</v>
      </c>
    </row>
    <row r="36" spans="1:13" x14ac:dyDescent="0.25">
      <c r="A36" s="17"/>
      <c r="C36" s="26"/>
      <c r="E36" s="46"/>
      <c r="F36" s="120"/>
      <c r="G36" s="120"/>
      <c r="H36" s="46"/>
      <c r="I36" s="46"/>
      <c r="J36" s="46"/>
      <c r="K36" s="46"/>
      <c r="L36" s="46"/>
      <c r="M36" s="4"/>
    </row>
    <row r="37" spans="1:13" ht="33.75" customHeight="1" x14ac:dyDescent="0.25">
      <c r="A37" s="17">
        <v>0.05</v>
      </c>
      <c r="C37" s="26"/>
      <c r="E37" s="46" t="s">
        <v>362</v>
      </c>
      <c r="F37" s="139" t="s">
        <v>251</v>
      </c>
      <c r="G37" s="139"/>
      <c r="H37" s="121">
        <v>1</v>
      </c>
      <c r="I37" s="55">
        <v>0</v>
      </c>
      <c r="J37" s="53">
        <f>+A37*$I$54</f>
        <v>16075.800000000001</v>
      </c>
      <c r="K37" s="9"/>
      <c r="L37" s="56">
        <v>0</v>
      </c>
      <c r="M37" s="4">
        <f t="shared" si="0"/>
        <v>0</v>
      </c>
    </row>
    <row r="38" spans="1:13" ht="63" customHeight="1" x14ac:dyDescent="0.25">
      <c r="A38" s="17">
        <v>3.5000000000000003E-2</v>
      </c>
      <c r="C38" s="26"/>
      <c r="E38" s="46" t="s">
        <v>363</v>
      </c>
      <c r="F38" s="139" t="s">
        <v>252</v>
      </c>
      <c r="G38" s="139"/>
      <c r="H38" s="121">
        <v>1</v>
      </c>
      <c r="I38" s="55">
        <v>0</v>
      </c>
      <c r="J38" s="53">
        <f>+A38*$I$54</f>
        <v>11253.060000000001</v>
      </c>
      <c r="K38" s="9"/>
      <c r="L38" s="56">
        <v>0</v>
      </c>
      <c r="M38" s="4">
        <f t="shared" si="0"/>
        <v>0</v>
      </c>
    </row>
    <row r="39" spans="1:13" ht="32.25" customHeight="1" x14ac:dyDescent="0.25">
      <c r="A39" s="37">
        <v>0.02</v>
      </c>
      <c r="C39" s="26"/>
      <c r="E39" s="46" t="s">
        <v>364</v>
      </c>
      <c r="F39" s="139" t="s">
        <v>253</v>
      </c>
      <c r="G39" s="139"/>
      <c r="H39" s="121">
        <v>1</v>
      </c>
      <c r="I39" s="55">
        <v>0</v>
      </c>
      <c r="J39" s="53">
        <f>+A39*$I$54</f>
        <v>6430.32</v>
      </c>
      <c r="K39" s="9"/>
      <c r="L39" s="56">
        <v>0</v>
      </c>
      <c r="M39" s="4">
        <f t="shared" si="0"/>
        <v>0</v>
      </c>
    </row>
    <row r="40" spans="1:13" x14ac:dyDescent="0.25">
      <c r="C40" s="26"/>
      <c r="E40" s="46"/>
      <c r="F40" s="46"/>
      <c r="G40" s="46"/>
      <c r="H40" s="46"/>
      <c r="I40" s="46"/>
      <c r="J40" s="46"/>
      <c r="K40" s="46"/>
      <c r="L40" s="46"/>
      <c r="M40" s="46"/>
    </row>
    <row r="41" spans="1:13" x14ac:dyDescent="0.25">
      <c r="C41" s="26"/>
      <c r="E41" s="137" t="s">
        <v>367</v>
      </c>
      <c r="F41" s="137"/>
      <c r="G41" s="137"/>
      <c r="H41" s="137"/>
      <c r="I41" s="137"/>
      <c r="J41" s="137"/>
      <c r="K41" s="137"/>
      <c r="L41" s="137"/>
      <c r="M41" s="63">
        <f>+M33+M34+M35+M37+M38+M39</f>
        <v>0</v>
      </c>
    </row>
    <row r="42" spans="1:13" x14ac:dyDescent="0.25">
      <c r="C42" s="26"/>
      <c r="E42" s="138"/>
      <c r="F42" s="138"/>
      <c r="G42" s="138"/>
      <c r="H42" s="138"/>
      <c r="I42" s="138"/>
      <c r="J42" s="138"/>
      <c r="K42" s="138"/>
      <c r="L42" s="138"/>
      <c r="M42" s="138"/>
    </row>
    <row r="43" spans="1:13" x14ac:dyDescent="0.25">
      <c r="C43" s="26"/>
      <c r="E43" s="74"/>
      <c r="F43" s="74"/>
      <c r="G43" s="74"/>
      <c r="H43" s="74"/>
      <c r="I43" s="74"/>
      <c r="J43" s="74"/>
      <c r="K43" s="119"/>
      <c r="L43" s="119"/>
      <c r="M43" s="119"/>
    </row>
    <row r="44" spans="1:13" ht="15.75" thickBot="1" x14ac:dyDescent="0.3">
      <c r="E44" s="8"/>
      <c r="F44" s="8"/>
      <c r="G44" s="8"/>
      <c r="H44" s="8"/>
      <c r="I44" s="8"/>
      <c r="J44" s="2"/>
      <c r="K44" s="168" t="s">
        <v>106</v>
      </c>
      <c r="L44" s="168"/>
      <c r="M44" s="77">
        <f>+M29+M20+M41</f>
        <v>0</v>
      </c>
    </row>
    <row r="45" spans="1:13" ht="15.75" thickTop="1" x14ac:dyDescent="0.25">
      <c r="E45" s="8"/>
      <c r="F45" s="8"/>
      <c r="G45" s="8"/>
      <c r="H45" s="8"/>
      <c r="I45" s="8"/>
      <c r="J45" s="8"/>
      <c r="K45" s="59"/>
      <c r="L45" s="59"/>
      <c r="M45" s="59"/>
    </row>
    <row r="46" spans="1:13" x14ac:dyDescent="0.25">
      <c r="E46" s="59"/>
      <c r="F46" s="59"/>
      <c r="G46" s="59"/>
      <c r="H46" s="59"/>
      <c r="I46" s="59"/>
      <c r="J46" s="59"/>
      <c r="K46" s="59"/>
      <c r="L46" s="59"/>
      <c r="M46" s="59"/>
    </row>
    <row r="47" spans="1:13" x14ac:dyDescent="0.25">
      <c r="E47" s="162" t="s">
        <v>308</v>
      </c>
      <c r="F47" s="163"/>
      <c r="G47" s="163"/>
      <c r="H47" s="163"/>
      <c r="I47" s="164"/>
      <c r="J47" s="162" t="s">
        <v>379</v>
      </c>
      <c r="K47" s="163"/>
      <c r="L47" s="163"/>
      <c r="M47" s="164"/>
    </row>
    <row r="48" spans="1:13" ht="15" customHeight="1" x14ac:dyDescent="0.25">
      <c r="E48" s="161" t="s">
        <v>309</v>
      </c>
      <c r="F48" s="156"/>
      <c r="G48" s="156"/>
      <c r="H48" s="156"/>
      <c r="I48" s="100">
        <v>292.3</v>
      </c>
      <c r="J48" s="161" t="s">
        <v>280</v>
      </c>
      <c r="K48" s="156"/>
      <c r="L48" s="156"/>
      <c r="M48" s="102">
        <v>147.1</v>
      </c>
    </row>
    <row r="49" spans="5:13" ht="15" customHeight="1" x14ac:dyDescent="0.25">
      <c r="E49" s="161" t="s">
        <v>356</v>
      </c>
      <c r="F49" s="156"/>
      <c r="G49" s="156"/>
      <c r="H49" s="156"/>
      <c r="I49" s="70">
        <v>416.5</v>
      </c>
      <c r="J49" s="161" t="s">
        <v>281</v>
      </c>
      <c r="K49" s="156"/>
      <c r="L49" s="156"/>
      <c r="M49" s="102">
        <f>+Vísitölur_frá_Hagstofu[Byggingarvísitala jan]</f>
        <v>202.5</v>
      </c>
    </row>
    <row r="50" spans="5:13" ht="15" customHeight="1" x14ac:dyDescent="0.25">
      <c r="E50" s="161" t="s">
        <v>310</v>
      </c>
      <c r="F50" s="156"/>
      <c r="G50" s="156"/>
      <c r="H50" s="156"/>
      <c r="I50" s="100">
        <v>712.1</v>
      </c>
      <c r="J50" s="103"/>
      <c r="K50" s="8"/>
      <c r="L50" s="8"/>
      <c r="M50" s="100"/>
    </row>
    <row r="51" spans="5:13" ht="15" customHeight="1" x14ac:dyDescent="0.25">
      <c r="E51" s="161" t="s">
        <v>311</v>
      </c>
      <c r="F51" s="156"/>
      <c r="G51" s="156"/>
      <c r="H51" s="156"/>
      <c r="I51" s="102">
        <f>+Vísitölur_frá_Hagstofu[Vísitala]</f>
        <v>1030.5999999999999</v>
      </c>
      <c r="J51" s="103"/>
      <c r="K51" s="8"/>
      <c r="L51" s="8"/>
      <c r="M51" s="100"/>
    </row>
    <row r="52" spans="5:13" ht="15" customHeight="1" x14ac:dyDescent="0.25">
      <c r="E52" s="161" t="s">
        <v>312</v>
      </c>
      <c r="F52" s="156"/>
      <c r="G52" s="156"/>
      <c r="H52" s="156"/>
      <c r="I52" s="102" t="e">
        <f>+Vísitölur_frá_Hagstofu[Rúmmetraverð]</f>
        <v>#DIV/0!</v>
      </c>
      <c r="J52" s="103"/>
      <c r="K52" s="8"/>
      <c r="L52" s="8"/>
      <c r="M52" s="100"/>
    </row>
    <row r="53" spans="5:13" ht="15" customHeight="1" x14ac:dyDescent="0.25">
      <c r="E53" s="161" t="s">
        <v>254</v>
      </c>
      <c r="F53" s="156"/>
      <c r="G53" s="156"/>
      <c r="H53" s="156"/>
      <c r="I53" s="108">
        <v>117895</v>
      </c>
      <c r="J53" s="103"/>
      <c r="K53" s="8"/>
      <c r="L53" s="8"/>
      <c r="M53" s="100"/>
    </row>
    <row r="54" spans="5:13" ht="15" customHeight="1" x14ac:dyDescent="0.25">
      <c r="E54" s="159" t="s">
        <v>313</v>
      </c>
      <c r="F54" s="160"/>
      <c r="G54" s="160"/>
      <c r="H54" s="160"/>
      <c r="I54" s="130">
        <f>+Vísitölur_frá_Hagstofu[Fermetraverð]</f>
        <v>321516</v>
      </c>
      <c r="J54" s="104"/>
      <c r="K54" s="105"/>
      <c r="L54" s="105"/>
      <c r="M54" s="101"/>
    </row>
    <row r="55" spans="5:13" x14ac:dyDescent="0.25">
      <c r="E55" s="8"/>
      <c r="F55" s="8"/>
      <c r="G55" s="8"/>
      <c r="H55" s="8"/>
      <c r="I55" s="8"/>
      <c r="J55" s="8"/>
      <c r="K55" s="59"/>
      <c r="L55" s="59"/>
      <c r="M55" s="59"/>
    </row>
    <row r="56" spans="5:13" x14ac:dyDescent="0.25">
      <c r="E56" s="8" t="str">
        <f>+Heild!E236</f>
        <v>Gjaldskrá fyrir byggingarleyfis- og þjónustugjöld í Svf. Ölfusi 31.1.2019</v>
      </c>
      <c r="F56" s="8"/>
      <c r="G56" s="8"/>
      <c r="H56" s="8"/>
      <c r="I56" s="8"/>
      <c r="J56" s="8"/>
      <c r="K56" s="8"/>
      <c r="L56" s="8"/>
      <c r="M56" s="8"/>
    </row>
    <row r="57" spans="5:13" x14ac:dyDescent="0.25">
      <c r="E57" s="8" t="str">
        <f>+Heild!E237</f>
        <v>Gjöld skv. samþykkt um gatnagerðargjöld fyrir Sveitarfélagið Ölfus, 20. ágúst 2020</v>
      </c>
      <c r="F57" s="8"/>
      <c r="G57" s="8"/>
      <c r="H57" s="8"/>
      <c r="I57" s="8"/>
      <c r="J57" s="8"/>
      <c r="K57" s="8"/>
      <c r="L57" s="8"/>
      <c r="M57" s="8"/>
    </row>
    <row r="58" spans="5:13" x14ac:dyDescent="0.25">
      <c r="E58" s="8" t="str">
        <f>+Heild!E238</f>
        <v>Það % hlutfall sem gefið er upp er hlutfall af vísitölu fermetrakostnaði við vísitölu hús byggt á grunni frá 1987.</v>
      </c>
      <c r="F58" s="8"/>
      <c r="G58" s="8"/>
      <c r="H58" s="8"/>
      <c r="I58" s="8"/>
      <c r="J58" s="8"/>
      <c r="K58" s="8"/>
      <c r="L58" s="8"/>
      <c r="M58" s="8"/>
    </row>
  </sheetData>
  <dataConsolidate link="1"/>
  <mergeCells count="51">
    <mergeCell ref="E51:H51"/>
    <mergeCell ref="E52:H52"/>
    <mergeCell ref="E53:H53"/>
    <mergeCell ref="E49:H49"/>
    <mergeCell ref="E54:H54"/>
    <mergeCell ref="E48:H48"/>
    <mergeCell ref="J48:L48"/>
    <mergeCell ref="E50:H50"/>
    <mergeCell ref="J49:L49"/>
    <mergeCell ref="J7:M7"/>
    <mergeCell ref="E47:I47"/>
    <mergeCell ref="J47:M47"/>
    <mergeCell ref="F22:M22"/>
    <mergeCell ref="F23:H23"/>
    <mergeCell ref="E8:I8"/>
    <mergeCell ref="E21:M21"/>
    <mergeCell ref="F10:M10"/>
    <mergeCell ref="F13:H13"/>
    <mergeCell ref="F12:H12"/>
    <mergeCell ref="F14:H14"/>
    <mergeCell ref="F16:H16"/>
    <mergeCell ref="F5:I5"/>
    <mergeCell ref="K5:M5"/>
    <mergeCell ref="F6:I6"/>
    <mergeCell ref="K6:M6"/>
    <mergeCell ref="E7:I7"/>
    <mergeCell ref="E1:M1"/>
    <mergeCell ref="E2:M2"/>
    <mergeCell ref="F3:I3"/>
    <mergeCell ref="K3:M3"/>
    <mergeCell ref="F4:I4"/>
    <mergeCell ref="K4:M4"/>
    <mergeCell ref="E20:L20"/>
    <mergeCell ref="F17:H17"/>
    <mergeCell ref="F18:H18"/>
    <mergeCell ref="F24:H24"/>
    <mergeCell ref="F25:H25"/>
    <mergeCell ref="F26:H26"/>
    <mergeCell ref="F27:H27"/>
    <mergeCell ref="E29:L29"/>
    <mergeCell ref="E30:M30"/>
    <mergeCell ref="K44:L44"/>
    <mergeCell ref="F31:M31"/>
    <mergeCell ref="F33:G33"/>
    <mergeCell ref="F34:G34"/>
    <mergeCell ref="F35:G35"/>
    <mergeCell ref="F37:G37"/>
    <mergeCell ref="F38:G38"/>
    <mergeCell ref="F39:G39"/>
    <mergeCell ref="E41:L41"/>
    <mergeCell ref="E42:M42"/>
  </mergeCells>
  <printOptions horizontalCentered="1"/>
  <pageMargins left="0.70866141732283472" right="0.70866141732283472" top="0.74803149606299213" bottom="0.74803149606299213" header="0.31496062992125984" footer="0.31496062992125984"/>
  <pageSetup paperSize="9" scale="62" fitToHeight="0" orientation="portrait" errors="dash" r:id="rId1"/>
  <headerFooter>
    <oddHeader>&amp;L&amp;G&amp;R&amp;D/&amp;T</oddHeader>
    <oddFooter>&amp;L&amp;F
Gjaldskrá - &amp;A&amp;R&amp;P/&amp;N</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E353B-36F5-463B-929E-D5BA8A8DFCB9}">
  <sheetPr>
    <tabColor theme="5" tint="0.59999389629810485"/>
    <pageSetUpPr fitToPage="1"/>
  </sheetPr>
  <dimension ref="A1:O32"/>
  <sheetViews>
    <sheetView view="pageBreakPreview" topLeftCell="E9" zoomScaleNormal="100" zoomScaleSheetLayoutView="100" workbookViewId="0">
      <selection activeCell="E13" sqref="E13:M13"/>
    </sheetView>
  </sheetViews>
  <sheetFormatPr defaultColWidth="9.140625" defaultRowHeight="15" outlineLevelCol="1" x14ac:dyDescent="0.25"/>
  <cols>
    <col min="1" max="4" width="9.140625" hidden="1" customWidth="1" outlineLevel="1"/>
    <col min="5" max="5" width="7.7109375" customWidth="1" collapsed="1"/>
    <col min="6" max="6" width="5.85546875" customWidth="1"/>
    <col min="7" max="7" width="14.42578125" customWidth="1"/>
    <col min="8" max="8" width="15.42578125" customWidth="1"/>
    <col min="9" max="9" width="15.5703125" customWidth="1"/>
    <col min="10" max="10" width="22.28515625" customWidth="1"/>
    <col min="11" max="11" width="5.28515625" customWidth="1"/>
    <col min="12" max="12" width="17.5703125" customWidth="1"/>
    <col min="13" max="13" width="15.42578125" customWidth="1"/>
    <col min="14" max="14" width="19" customWidth="1"/>
    <col min="15" max="15" width="13.85546875" customWidth="1"/>
    <col min="16" max="16" width="19.28515625" customWidth="1"/>
    <col min="17" max="17" width="15.7109375" customWidth="1"/>
  </cols>
  <sheetData>
    <row r="1" spans="1:15" ht="23.25" x14ac:dyDescent="0.25">
      <c r="E1" s="148" t="s">
        <v>1</v>
      </c>
      <c r="F1" s="148"/>
      <c r="G1" s="148"/>
      <c r="H1" s="148"/>
      <c r="I1" s="148"/>
      <c r="J1" s="148"/>
      <c r="K1" s="148"/>
      <c r="L1" s="148"/>
      <c r="M1" s="148"/>
      <c r="O1" s="1"/>
    </row>
    <row r="2" spans="1:15" ht="21" x14ac:dyDescent="0.25">
      <c r="E2" s="149" t="s">
        <v>0</v>
      </c>
      <c r="F2" s="149"/>
      <c r="G2" s="149"/>
      <c r="H2" s="149"/>
      <c r="I2" s="149"/>
      <c r="J2" s="149"/>
      <c r="K2" s="149"/>
      <c r="L2" s="149"/>
      <c r="M2" s="149"/>
      <c r="O2" s="1"/>
    </row>
    <row r="3" spans="1:15" x14ac:dyDescent="0.25">
      <c r="E3" s="49" t="s">
        <v>3</v>
      </c>
      <c r="F3" s="150"/>
      <c r="G3" s="150"/>
      <c r="H3" s="150"/>
      <c r="I3" s="150"/>
      <c r="J3" s="49" t="s">
        <v>4</v>
      </c>
      <c r="K3" s="150"/>
      <c r="L3" s="150"/>
      <c r="M3" s="150"/>
      <c r="O3" s="1"/>
    </row>
    <row r="4" spans="1:15" x14ac:dyDescent="0.25">
      <c r="E4" s="50" t="s">
        <v>133</v>
      </c>
      <c r="F4" s="144"/>
      <c r="G4" s="144"/>
      <c r="H4" s="144"/>
      <c r="I4" s="144"/>
      <c r="J4" s="50" t="s">
        <v>5</v>
      </c>
      <c r="K4" s="144"/>
      <c r="L4" s="144"/>
      <c r="M4" s="144"/>
      <c r="O4" s="1"/>
    </row>
    <row r="5" spans="1:15" x14ac:dyDescent="0.25">
      <c r="E5" s="50" t="s">
        <v>2</v>
      </c>
      <c r="F5" s="144"/>
      <c r="G5" s="144"/>
      <c r="H5" s="144"/>
      <c r="I5" s="144"/>
      <c r="J5" s="50" t="s">
        <v>6</v>
      </c>
      <c r="K5" s="144"/>
      <c r="L5" s="144"/>
      <c r="M5" s="144"/>
    </row>
    <row r="6" spans="1:15" x14ac:dyDescent="0.25">
      <c r="E6" s="51" t="s">
        <v>134</v>
      </c>
      <c r="F6" s="144"/>
      <c r="G6" s="144"/>
      <c r="H6" s="144"/>
      <c r="I6" s="144"/>
      <c r="J6" s="50" t="s">
        <v>7</v>
      </c>
      <c r="K6" s="144"/>
      <c r="L6" s="144"/>
      <c r="M6" s="144"/>
    </row>
    <row r="7" spans="1:15" x14ac:dyDescent="0.25">
      <c r="E7" s="151"/>
      <c r="F7" s="151"/>
      <c r="G7" s="151"/>
      <c r="H7" s="151"/>
      <c r="I7" s="151"/>
      <c r="J7" s="57"/>
      <c r="K7" s="57"/>
      <c r="L7" s="57"/>
      <c r="M7" s="57"/>
    </row>
    <row r="8" spans="1:15" ht="15.75" thickBot="1" x14ac:dyDescent="0.3">
      <c r="A8" s="25" t="s">
        <v>53</v>
      </c>
      <c r="E8" s="145"/>
      <c r="F8" s="145"/>
      <c r="G8" s="145"/>
      <c r="H8" s="145"/>
      <c r="I8" s="145"/>
      <c r="J8" s="52" t="s">
        <v>100</v>
      </c>
      <c r="K8" s="52" t="s">
        <v>105</v>
      </c>
      <c r="L8" s="52" t="s">
        <v>102</v>
      </c>
      <c r="M8" s="52" t="s">
        <v>101</v>
      </c>
    </row>
    <row r="9" spans="1:15" ht="2.25" customHeight="1" thickTop="1" x14ac:dyDescent="0.25">
      <c r="A9" s="25"/>
      <c r="E9" s="61"/>
      <c r="F9" s="61"/>
      <c r="G9" s="61"/>
      <c r="H9" s="61"/>
      <c r="I9" s="61"/>
      <c r="J9" s="57"/>
      <c r="K9" s="57"/>
      <c r="L9" s="57"/>
      <c r="M9" s="57"/>
    </row>
    <row r="10" spans="1:15" x14ac:dyDescent="0.25">
      <c r="C10" s="26"/>
      <c r="E10" s="16" t="s">
        <v>234</v>
      </c>
      <c r="F10" s="136" t="s">
        <v>10</v>
      </c>
      <c r="G10" s="136"/>
      <c r="H10" s="136"/>
      <c r="I10" s="136"/>
      <c r="J10" s="136"/>
      <c r="K10" s="136"/>
      <c r="L10" s="136"/>
      <c r="M10" s="136"/>
    </row>
    <row r="11" spans="1:15" ht="34.5" customHeight="1" x14ac:dyDescent="0.25">
      <c r="C11" s="26"/>
      <c r="E11" s="46" t="s">
        <v>235</v>
      </c>
      <c r="F11" s="141" t="s">
        <v>103</v>
      </c>
      <c r="G11" s="141"/>
      <c r="H11" s="54"/>
      <c r="I11" s="48" t="s">
        <v>9</v>
      </c>
      <c r="J11" s="98">
        <f>$I$25/$I$22*30000</f>
        <v>105774.88881286347</v>
      </c>
      <c r="K11" s="9" t="s">
        <v>123</v>
      </c>
      <c r="L11" s="18">
        <v>0</v>
      </c>
      <c r="M11" s="4">
        <f>+J11*L11</f>
        <v>0</v>
      </c>
    </row>
    <row r="12" spans="1:15" ht="17.25" x14ac:dyDescent="0.25">
      <c r="C12" s="26"/>
      <c r="E12" s="46"/>
      <c r="F12" s="156"/>
      <c r="G12" s="156"/>
      <c r="H12" s="54"/>
      <c r="I12" s="48" t="s">
        <v>147</v>
      </c>
      <c r="J12" s="45">
        <f>102*$I$25/$I$22</f>
        <v>359.63462196373587</v>
      </c>
      <c r="K12" s="9" t="s">
        <v>124</v>
      </c>
      <c r="L12" s="20">
        <v>0</v>
      </c>
      <c r="M12" s="4">
        <f>IF(L12&lt;701,0,(L12-700)*J12)</f>
        <v>0</v>
      </c>
    </row>
    <row r="13" spans="1:15" x14ac:dyDescent="0.25">
      <c r="C13" s="26"/>
      <c r="E13" s="157"/>
      <c r="F13" s="157"/>
      <c r="G13" s="157"/>
      <c r="H13" s="157"/>
      <c r="I13" s="157"/>
      <c r="J13" s="157"/>
      <c r="K13" s="157"/>
      <c r="L13" s="157"/>
      <c r="M13" s="157"/>
    </row>
    <row r="14" spans="1:15" ht="31.5" customHeight="1" collapsed="1" x14ac:dyDescent="0.25">
      <c r="C14" s="26"/>
      <c r="E14" s="46" t="s">
        <v>236</v>
      </c>
      <c r="F14" s="141" t="s">
        <v>104</v>
      </c>
      <c r="G14" s="141"/>
      <c r="H14" s="54"/>
      <c r="I14" s="48" t="s">
        <v>9</v>
      </c>
      <c r="J14" s="98">
        <v>2207</v>
      </c>
      <c r="K14" s="9" t="s">
        <v>123</v>
      </c>
      <c r="L14" s="18">
        <v>0</v>
      </c>
      <c r="M14" s="4">
        <f>+J14*L14</f>
        <v>0</v>
      </c>
    </row>
    <row r="15" spans="1:15" ht="17.25" x14ac:dyDescent="0.25">
      <c r="C15" s="26"/>
      <c r="E15" s="46"/>
      <c r="F15" s="156"/>
      <c r="G15" s="156"/>
      <c r="H15" s="54"/>
      <c r="I15" s="48" t="s">
        <v>147</v>
      </c>
      <c r="J15" s="45">
        <f>102*$I$25/$I$22</f>
        <v>359.63462196373587</v>
      </c>
      <c r="K15" s="9" t="s">
        <v>124</v>
      </c>
      <c r="L15" s="20">
        <v>0</v>
      </c>
      <c r="M15" s="4">
        <f>IF(L15&lt;1001,0,(L15-1000)*J15)</f>
        <v>0</v>
      </c>
    </row>
    <row r="16" spans="1:15" x14ac:dyDescent="0.25">
      <c r="C16" s="26"/>
      <c r="E16" s="165"/>
      <c r="F16" s="165"/>
      <c r="G16" s="165"/>
      <c r="H16" s="165"/>
      <c r="I16" s="165"/>
      <c r="J16" s="165"/>
      <c r="K16" s="165"/>
      <c r="L16" s="165"/>
      <c r="M16" s="165"/>
    </row>
    <row r="17" spans="3:13" x14ac:dyDescent="0.25">
      <c r="C17" s="26"/>
      <c r="E17" s="166" t="s">
        <v>355</v>
      </c>
      <c r="F17" s="166"/>
      <c r="G17" s="166"/>
      <c r="H17" s="166"/>
      <c r="I17" s="166"/>
      <c r="J17" s="166"/>
      <c r="K17" s="166"/>
      <c r="L17" s="166"/>
      <c r="M17" s="63">
        <f>+M15+M14+M12+M11</f>
        <v>0</v>
      </c>
    </row>
    <row r="18" spans="3:13" x14ac:dyDescent="0.25">
      <c r="C18" s="26"/>
      <c r="E18" s="8"/>
      <c r="F18" s="8"/>
      <c r="G18" s="8"/>
      <c r="H18" s="8"/>
      <c r="I18" s="8"/>
      <c r="J18" s="8"/>
      <c r="K18" s="8"/>
      <c r="L18" s="8"/>
      <c r="M18" s="8"/>
    </row>
    <row r="19" spans="3:13" ht="15.75" thickBot="1" x14ac:dyDescent="0.3">
      <c r="E19" s="8"/>
      <c r="F19" s="8"/>
      <c r="G19" s="8"/>
      <c r="H19" s="8"/>
      <c r="I19" s="8"/>
      <c r="J19" s="2"/>
      <c r="K19" s="168" t="s">
        <v>106</v>
      </c>
      <c r="L19" s="168"/>
      <c r="M19" s="60">
        <f>+M17</f>
        <v>0</v>
      </c>
    </row>
    <row r="20" spans="3:13" ht="15.75" thickTop="1" x14ac:dyDescent="0.25">
      <c r="E20" s="8"/>
      <c r="F20" s="8"/>
      <c r="G20" s="8"/>
      <c r="H20" s="8"/>
      <c r="I20" s="8"/>
      <c r="J20" s="8"/>
      <c r="K20" s="59"/>
      <c r="L20" s="59"/>
      <c r="M20" s="59"/>
    </row>
    <row r="21" spans="3:13" ht="15" customHeight="1" x14ac:dyDescent="0.25">
      <c r="E21" s="162" t="s">
        <v>308</v>
      </c>
      <c r="F21" s="163"/>
      <c r="G21" s="163"/>
      <c r="H21" s="163"/>
      <c r="I21" s="164"/>
      <c r="J21" s="162" t="s">
        <v>379</v>
      </c>
      <c r="K21" s="163"/>
      <c r="L21" s="163"/>
      <c r="M21" s="164"/>
    </row>
    <row r="22" spans="3:13" ht="15" customHeight="1" x14ac:dyDescent="0.25">
      <c r="E22" s="161" t="s">
        <v>309</v>
      </c>
      <c r="F22" s="156"/>
      <c r="G22" s="156"/>
      <c r="H22" s="156"/>
      <c r="I22" s="100">
        <v>292.3</v>
      </c>
      <c r="J22" s="161" t="s">
        <v>280</v>
      </c>
      <c r="K22" s="156"/>
      <c r="L22" s="156"/>
      <c r="M22" s="102">
        <v>147.1</v>
      </c>
    </row>
    <row r="23" spans="3:13" ht="15" customHeight="1" x14ac:dyDescent="0.25">
      <c r="E23" s="161" t="s">
        <v>356</v>
      </c>
      <c r="F23" s="156"/>
      <c r="G23" s="156"/>
      <c r="H23" s="156"/>
      <c r="I23" s="70">
        <v>416.5</v>
      </c>
      <c r="J23" s="161" t="s">
        <v>281</v>
      </c>
      <c r="K23" s="156"/>
      <c r="L23" s="156"/>
      <c r="M23" s="102">
        <f>+Vísitölur_frá_Hagstofu[Byggingarvísitala jan]</f>
        <v>202.5</v>
      </c>
    </row>
    <row r="24" spans="3:13" ht="15" customHeight="1" x14ac:dyDescent="0.25">
      <c r="E24" s="161" t="s">
        <v>310</v>
      </c>
      <c r="F24" s="156"/>
      <c r="G24" s="156"/>
      <c r="H24" s="156"/>
      <c r="I24" s="100">
        <v>712.1</v>
      </c>
      <c r="J24" s="103"/>
      <c r="K24" s="8"/>
      <c r="L24" s="8"/>
      <c r="M24" s="100"/>
    </row>
    <row r="25" spans="3:13" ht="15" customHeight="1" x14ac:dyDescent="0.25">
      <c r="E25" s="161" t="s">
        <v>311</v>
      </c>
      <c r="F25" s="156"/>
      <c r="G25" s="156"/>
      <c r="H25" s="156"/>
      <c r="I25" s="102">
        <f>+Vísitölur_frá_Hagstofu[Vísitala]</f>
        <v>1030.5999999999999</v>
      </c>
      <c r="J25" s="103"/>
      <c r="K25" s="8"/>
      <c r="L25" s="8"/>
      <c r="M25" s="100"/>
    </row>
    <row r="26" spans="3:13" ht="15" customHeight="1" x14ac:dyDescent="0.25">
      <c r="E26" s="161" t="s">
        <v>312</v>
      </c>
      <c r="F26" s="156"/>
      <c r="G26" s="156"/>
      <c r="H26" s="156"/>
      <c r="I26" s="102" t="e">
        <f>+Vísitölur_frá_Hagstofu[Rúmmetraverð]</f>
        <v>#DIV/0!</v>
      </c>
      <c r="J26" s="103"/>
      <c r="K26" s="8"/>
      <c r="L26" s="8"/>
      <c r="M26" s="100"/>
    </row>
    <row r="27" spans="3:13" ht="15" customHeight="1" x14ac:dyDescent="0.25">
      <c r="E27" s="161" t="s">
        <v>254</v>
      </c>
      <c r="F27" s="156"/>
      <c r="G27" s="156"/>
      <c r="H27" s="156"/>
      <c r="I27" s="108">
        <v>117895</v>
      </c>
      <c r="J27" s="103"/>
      <c r="K27" s="8"/>
      <c r="L27" s="8"/>
      <c r="M27" s="100"/>
    </row>
    <row r="28" spans="3:13" ht="15" customHeight="1" x14ac:dyDescent="0.25">
      <c r="E28" s="159" t="s">
        <v>313</v>
      </c>
      <c r="F28" s="160"/>
      <c r="G28" s="160"/>
      <c r="H28" s="160"/>
      <c r="I28" s="130">
        <f>+Vísitölur_frá_Hagstofu[Fermetraverð]</f>
        <v>321516</v>
      </c>
      <c r="J28" s="104"/>
      <c r="K28" s="105"/>
      <c r="L28" s="105"/>
      <c r="M28" s="101"/>
    </row>
    <row r="29" spans="3:13" ht="15" customHeight="1" x14ac:dyDescent="0.25">
      <c r="E29" s="8"/>
      <c r="F29" s="8"/>
      <c r="G29" s="8"/>
      <c r="H29" s="8"/>
      <c r="I29" s="8"/>
      <c r="J29" s="8"/>
      <c r="K29" s="59"/>
      <c r="L29" s="59"/>
      <c r="M29" s="59"/>
    </row>
    <row r="30" spans="3:13" x14ac:dyDescent="0.25">
      <c r="E30" s="8" t="str">
        <f>+[1]Heild!E199</f>
        <v>Gjaldskrá fyrir byggingarleyfis- og þjónustugjöld í Svf. Ölfusi 31.1.2019</v>
      </c>
      <c r="F30" s="8"/>
      <c r="G30" s="8"/>
      <c r="H30" s="8"/>
      <c r="I30" s="8"/>
      <c r="J30" s="8"/>
      <c r="K30" s="8"/>
      <c r="L30" s="8"/>
      <c r="M30" s="8"/>
    </row>
    <row r="31" spans="3:13" x14ac:dyDescent="0.25">
      <c r="E31" s="8" t="str">
        <f>+Heild!E237</f>
        <v>Gjöld skv. samþykkt um gatnagerðargjöld fyrir Sveitarfélagið Ölfus, 20. ágúst 2020</v>
      </c>
      <c r="F31" s="8"/>
      <c r="G31" s="8"/>
      <c r="H31" s="8"/>
      <c r="I31" s="8"/>
      <c r="J31" s="8"/>
      <c r="K31" s="8"/>
      <c r="L31" s="8"/>
      <c r="M31" s="8"/>
    </row>
    <row r="32" spans="3:13" x14ac:dyDescent="0.25">
      <c r="E32" s="8" t="str">
        <f>+[1]Heild!E201</f>
        <v>Það % hlutfall sem gefið er upp er hlutfall af vísitölu fermetrakostnaði við vísitölu hús byggt á grunni frá 1987.</v>
      </c>
      <c r="F32" s="8"/>
      <c r="G32" s="8"/>
      <c r="H32" s="8"/>
      <c r="I32" s="8"/>
      <c r="J32" s="8"/>
      <c r="K32" s="8"/>
      <c r="L32" s="8"/>
      <c r="M32" s="8"/>
    </row>
  </sheetData>
  <dataConsolidate link="1"/>
  <mergeCells count="32">
    <mergeCell ref="E21:I21"/>
    <mergeCell ref="J21:M21"/>
    <mergeCell ref="J23:L23"/>
    <mergeCell ref="E23:H23"/>
    <mergeCell ref="E25:H25"/>
    <mergeCell ref="E26:H26"/>
    <mergeCell ref="E28:H28"/>
    <mergeCell ref="E27:H27"/>
    <mergeCell ref="E22:H22"/>
    <mergeCell ref="J22:L22"/>
    <mergeCell ref="E24:H24"/>
    <mergeCell ref="K19:L19"/>
    <mergeCell ref="F15:G15"/>
    <mergeCell ref="E16:M16"/>
    <mergeCell ref="E17:L17"/>
    <mergeCell ref="F11:G11"/>
    <mergeCell ref="F12:G12"/>
    <mergeCell ref="E13:M13"/>
    <mergeCell ref="F14:G14"/>
    <mergeCell ref="E8:I8"/>
    <mergeCell ref="F10:M10"/>
    <mergeCell ref="F5:I5"/>
    <mergeCell ref="K5:M5"/>
    <mergeCell ref="F6:I6"/>
    <mergeCell ref="K6:M6"/>
    <mergeCell ref="E7:I7"/>
    <mergeCell ref="E1:M1"/>
    <mergeCell ref="E2:M2"/>
    <mergeCell ref="F3:I3"/>
    <mergeCell ref="K3:M3"/>
    <mergeCell ref="F4:I4"/>
    <mergeCell ref="K4:M4"/>
  </mergeCells>
  <printOptions horizontalCentered="1"/>
  <pageMargins left="0.70866141732283472" right="0.70866141732283472" top="0.74803149606299213" bottom="0.74803149606299213" header="0.31496062992125984" footer="0.31496062992125984"/>
  <pageSetup paperSize="9" scale="73" fitToHeight="0" orientation="portrait" errors="dash" r:id="rId1"/>
  <headerFooter>
    <oddHeader>&amp;L&amp;G&amp;R&amp;D/&amp;T</oddHeader>
    <oddFooter>&amp;L&amp;F
Gjaldskrá - &amp;A&amp;R&amp;P/&amp;N</oddFoot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87ECD-7DDA-4E08-8A31-51B584EA2E00}">
  <sheetPr codeName="Sheet7">
    <tabColor theme="5" tint="0.59999389629810485"/>
    <pageSetUpPr fitToPage="1"/>
  </sheetPr>
  <dimension ref="A1:P85"/>
  <sheetViews>
    <sheetView view="pageBreakPreview" topLeftCell="E4" zoomScaleNormal="100" zoomScaleSheetLayoutView="100" workbookViewId="0">
      <selection activeCell="E12" sqref="E12:M12"/>
    </sheetView>
  </sheetViews>
  <sheetFormatPr defaultColWidth="9.140625" defaultRowHeight="15" outlineLevelCol="1" x14ac:dyDescent="0.25"/>
  <cols>
    <col min="1" max="4" width="9.140625" hidden="1" customWidth="1" outlineLevel="1"/>
    <col min="5" max="5" width="7.7109375" customWidth="1" collapsed="1"/>
    <col min="6" max="6" width="9.85546875" customWidth="1"/>
    <col min="7" max="7" width="12.28515625" customWidth="1"/>
    <col min="8" max="8" width="15.42578125" customWidth="1"/>
    <col min="9" max="9" width="15.5703125" customWidth="1"/>
    <col min="10" max="10" width="22.28515625" customWidth="1"/>
    <col min="11" max="11" width="5.28515625" customWidth="1"/>
    <col min="12" max="12" width="17.5703125" customWidth="1"/>
    <col min="13" max="13" width="14.140625" customWidth="1"/>
    <col min="14" max="14" width="19" customWidth="1"/>
    <col min="15" max="15" width="13.85546875" customWidth="1"/>
    <col min="16" max="16" width="19.28515625" customWidth="1"/>
    <col min="17" max="17" width="15.7109375" customWidth="1"/>
  </cols>
  <sheetData>
    <row r="1" spans="1:16" ht="23.25" x14ac:dyDescent="0.25">
      <c r="E1" s="148" t="s">
        <v>1</v>
      </c>
      <c r="F1" s="148"/>
      <c r="G1" s="148"/>
      <c r="H1" s="148"/>
      <c r="I1" s="148"/>
      <c r="J1" s="148"/>
      <c r="K1" s="148"/>
      <c r="L1" s="148"/>
      <c r="M1" s="148"/>
      <c r="O1" s="1"/>
    </row>
    <row r="2" spans="1:16" ht="21" x14ac:dyDescent="0.25">
      <c r="E2" s="149" t="s">
        <v>0</v>
      </c>
      <c r="F2" s="149"/>
      <c r="G2" s="149"/>
      <c r="H2" s="149"/>
      <c r="I2" s="149"/>
      <c r="J2" s="149"/>
      <c r="K2" s="149"/>
      <c r="L2" s="149"/>
      <c r="M2" s="149"/>
      <c r="O2" s="1"/>
    </row>
    <row r="3" spans="1:16" x14ac:dyDescent="0.25">
      <c r="E3" s="49" t="s">
        <v>3</v>
      </c>
      <c r="F3" s="150"/>
      <c r="G3" s="150"/>
      <c r="H3" s="150"/>
      <c r="I3" s="150"/>
      <c r="J3" s="49" t="s">
        <v>4</v>
      </c>
      <c r="K3" s="150"/>
      <c r="L3" s="150"/>
      <c r="M3" s="150"/>
      <c r="O3" s="1"/>
    </row>
    <row r="4" spans="1:16" x14ac:dyDescent="0.25">
      <c r="E4" s="50" t="s">
        <v>133</v>
      </c>
      <c r="F4" s="144"/>
      <c r="G4" s="144"/>
      <c r="H4" s="144"/>
      <c r="I4" s="144"/>
      <c r="J4" s="50" t="s">
        <v>5</v>
      </c>
      <c r="K4" s="144"/>
      <c r="L4" s="144"/>
      <c r="M4" s="144"/>
      <c r="O4" s="1"/>
    </row>
    <row r="5" spans="1:16" x14ac:dyDescent="0.25">
      <c r="E5" s="50" t="s">
        <v>2</v>
      </c>
      <c r="F5" s="144"/>
      <c r="G5" s="144"/>
      <c r="H5" s="144"/>
      <c r="I5" s="144"/>
      <c r="J5" s="50" t="s">
        <v>6</v>
      </c>
      <c r="K5" s="144"/>
      <c r="L5" s="144"/>
      <c r="M5" s="144"/>
    </row>
    <row r="6" spans="1:16" x14ac:dyDescent="0.25">
      <c r="E6" s="51" t="s">
        <v>134</v>
      </c>
      <c r="F6" s="144"/>
      <c r="G6" s="144"/>
      <c r="H6" s="144"/>
      <c r="I6" s="144"/>
      <c r="J6" s="50" t="s">
        <v>7</v>
      </c>
      <c r="K6" s="144"/>
      <c r="L6" s="144"/>
      <c r="M6" s="144"/>
    </row>
    <row r="7" spans="1:16" x14ac:dyDescent="0.25">
      <c r="E7" s="151"/>
      <c r="F7" s="151"/>
      <c r="G7" s="151"/>
      <c r="H7" s="151"/>
      <c r="I7" s="151"/>
      <c r="J7" s="151"/>
      <c r="K7" s="151"/>
      <c r="L7" s="151"/>
      <c r="M7" s="151"/>
    </row>
    <row r="8" spans="1:16" ht="15.75" thickBot="1" x14ac:dyDescent="0.3">
      <c r="A8" s="25" t="s">
        <v>53</v>
      </c>
      <c r="E8" s="145"/>
      <c r="F8" s="145"/>
      <c r="G8" s="145"/>
      <c r="H8" s="145"/>
      <c r="I8" s="145"/>
      <c r="J8" s="52" t="s">
        <v>100</v>
      </c>
      <c r="K8" s="52" t="s">
        <v>105</v>
      </c>
      <c r="L8" s="52" t="s">
        <v>102</v>
      </c>
      <c r="M8" s="52" t="s">
        <v>101</v>
      </c>
    </row>
    <row r="9" spans="1:16" ht="2.25" customHeight="1" thickTop="1" x14ac:dyDescent="0.25">
      <c r="A9" s="25"/>
      <c r="E9" s="61"/>
      <c r="F9" s="61"/>
      <c r="G9" s="61"/>
      <c r="H9" s="61"/>
      <c r="I9" s="61"/>
      <c r="J9" s="57"/>
      <c r="K9" s="57"/>
      <c r="L9" s="57"/>
      <c r="M9" s="57"/>
    </row>
    <row r="10" spans="1:16" x14ac:dyDescent="0.25">
      <c r="C10" s="26"/>
      <c r="E10" s="16" t="s">
        <v>237</v>
      </c>
      <c r="F10" s="136" t="s">
        <v>264</v>
      </c>
      <c r="G10" s="136"/>
      <c r="H10" s="136"/>
      <c r="I10" s="136"/>
      <c r="J10" s="136"/>
      <c r="K10" s="136"/>
      <c r="L10" s="136"/>
      <c r="M10" s="136"/>
    </row>
    <row r="11" spans="1:16" x14ac:dyDescent="0.25">
      <c r="C11" s="26">
        <v>250000</v>
      </c>
      <c r="E11" s="46" t="s">
        <v>238</v>
      </c>
      <c r="F11" s="141" t="s">
        <v>265</v>
      </c>
      <c r="G11" s="141"/>
      <c r="H11" s="54"/>
      <c r="I11" s="48" t="s">
        <v>384</v>
      </c>
      <c r="J11" s="87">
        <f>$M$76/$M$75*C11</f>
        <v>344153.63698164513</v>
      </c>
      <c r="K11" s="9"/>
      <c r="L11" s="85">
        <v>0</v>
      </c>
      <c r="M11" s="4">
        <f>J11*L11</f>
        <v>0</v>
      </c>
      <c r="O11" s="79"/>
      <c r="P11" s="80"/>
    </row>
    <row r="12" spans="1:16" x14ac:dyDescent="0.25">
      <c r="C12" s="26"/>
      <c r="E12" s="165"/>
      <c r="F12" s="165"/>
      <c r="G12" s="165"/>
      <c r="H12" s="165"/>
      <c r="I12" s="165"/>
      <c r="J12" s="165"/>
      <c r="K12" s="165"/>
      <c r="L12" s="165"/>
      <c r="M12" s="165"/>
    </row>
    <row r="13" spans="1:16" x14ac:dyDescent="0.25">
      <c r="C13" s="26"/>
      <c r="E13" s="166" t="s">
        <v>314</v>
      </c>
      <c r="F13" s="166"/>
      <c r="G13" s="166"/>
      <c r="H13" s="166"/>
      <c r="I13" s="166"/>
      <c r="J13" s="166"/>
      <c r="K13" s="166"/>
      <c r="L13" s="166"/>
      <c r="M13" s="63">
        <f>+M11</f>
        <v>0</v>
      </c>
    </row>
    <row r="14" spans="1:16" x14ac:dyDescent="0.25">
      <c r="C14" s="26"/>
      <c r="E14" s="157"/>
      <c r="F14" s="157"/>
      <c r="G14" s="157"/>
      <c r="H14" s="157"/>
      <c r="I14" s="157"/>
      <c r="J14" s="157"/>
      <c r="K14" s="157"/>
      <c r="L14" s="157"/>
      <c r="M14" s="157"/>
    </row>
    <row r="15" spans="1:16" x14ac:dyDescent="0.25">
      <c r="C15" s="26"/>
      <c r="E15" s="74"/>
      <c r="F15" s="74"/>
      <c r="G15" s="74"/>
      <c r="H15" s="74"/>
      <c r="I15" s="74"/>
      <c r="J15" s="74"/>
      <c r="K15" s="74"/>
      <c r="L15" s="74"/>
      <c r="M15" s="74"/>
    </row>
    <row r="16" spans="1:16" x14ac:dyDescent="0.25">
      <c r="C16" s="26"/>
      <c r="E16" s="74"/>
      <c r="F16" s="74"/>
      <c r="G16" s="74"/>
      <c r="H16" s="74"/>
      <c r="I16" s="74"/>
      <c r="J16" s="74"/>
      <c r="K16" s="74"/>
      <c r="L16" s="74"/>
      <c r="M16" s="74"/>
    </row>
    <row r="17" spans="3:13" collapsed="1" x14ac:dyDescent="0.25">
      <c r="C17" s="26"/>
      <c r="E17" s="16" t="s">
        <v>315</v>
      </c>
      <c r="F17" s="136" t="s">
        <v>267</v>
      </c>
      <c r="G17" s="136"/>
      <c r="H17" s="136"/>
      <c r="I17" s="136"/>
      <c r="J17" s="136"/>
      <c r="K17" s="136"/>
      <c r="L17" s="136"/>
      <c r="M17" s="136"/>
    </row>
    <row r="18" spans="3:13" ht="45" x14ac:dyDescent="0.25">
      <c r="C18" s="26"/>
      <c r="F18" s="167" t="s">
        <v>269</v>
      </c>
      <c r="G18" s="167"/>
      <c r="H18" s="167"/>
      <c r="I18" s="91" t="s">
        <v>271</v>
      </c>
      <c r="J18" s="91" t="s">
        <v>270</v>
      </c>
      <c r="K18" s="62"/>
      <c r="L18" s="91" t="s">
        <v>380</v>
      </c>
      <c r="M18" s="62"/>
    </row>
    <row r="19" spans="3:13" ht="18.75" customHeight="1" x14ac:dyDescent="0.25">
      <c r="C19" s="26">
        <v>182973</v>
      </c>
      <c r="D19">
        <v>1830</v>
      </c>
      <c r="E19" s="46" t="s">
        <v>316</v>
      </c>
      <c r="F19" s="167" t="s">
        <v>272</v>
      </c>
      <c r="G19" s="167"/>
      <c r="H19" s="167"/>
      <c r="I19" s="87">
        <f t="shared" ref="I19:J26" si="0">$M$76/$M$75*C19</f>
        <v>251883.29367777021</v>
      </c>
      <c r="J19" s="87">
        <f t="shared" si="0"/>
        <v>2519.2046227056426</v>
      </c>
      <c r="K19" s="9"/>
      <c r="L19" s="81">
        <v>0</v>
      </c>
      <c r="M19" s="87">
        <f>IF(L19=0,0,IF(L19&lt;35.01,I19,I19+J19*(L19-35)))</f>
        <v>0</v>
      </c>
    </row>
    <row r="20" spans="3:13" x14ac:dyDescent="0.25">
      <c r="C20" s="26">
        <v>236755</v>
      </c>
      <c r="D20">
        <v>2367</v>
      </c>
      <c r="E20" s="46" t="s">
        <v>317</v>
      </c>
      <c r="F20" s="167" t="s">
        <v>273</v>
      </c>
      <c r="G20" s="167"/>
      <c r="H20" s="167"/>
      <c r="I20" s="87">
        <f t="shared" si="0"/>
        <v>325920.37729435758</v>
      </c>
      <c r="J20" s="87">
        <f t="shared" si="0"/>
        <v>3258.446634942216</v>
      </c>
      <c r="K20" s="9"/>
      <c r="L20" s="81">
        <v>0</v>
      </c>
      <c r="M20" s="87">
        <f>IF(L20=0,0,IF(L20&lt;35.01,I20,I20+J20*(L20-35)))</f>
        <v>0</v>
      </c>
    </row>
    <row r="21" spans="3:13" x14ac:dyDescent="0.25">
      <c r="C21" s="26">
        <v>306489</v>
      </c>
      <c r="D21">
        <v>3065</v>
      </c>
      <c r="E21" s="46" t="s">
        <v>318</v>
      </c>
      <c r="F21" s="167" t="s">
        <v>274</v>
      </c>
      <c r="G21" s="167"/>
      <c r="H21" s="167"/>
      <c r="I21" s="87">
        <f t="shared" si="0"/>
        <v>421917.21617946977</v>
      </c>
      <c r="J21" s="87">
        <f t="shared" si="0"/>
        <v>4219.3235893949695</v>
      </c>
      <c r="K21" s="9"/>
      <c r="L21" s="81">
        <v>0</v>
      </c>
      <c r="M21" s="87">
        <f t="shared" ref="M21:M26" si="1">IF(L21=0,0,IF(L21&lt;35.01,I21,I21+J21*(L21-35)))</f>
        <v>0</v>
      </c>
    </row>
    <row r="22" spans="3:13" x14ac:dyDescent="0.25">
      <c r="C22" s="26">
        <v>441989</v>
      </c>
      <c r="D22">
        <v>4420</v>
      </c>
      <c r="E22" s="46" t="s">
        <v>319</v>
      </c>
      <c r="F22" s="167" t="s">
        <v>275</v>
      </c>
      <c r="G22" s="167"/>
      <c r="H22" s="167"/>
      <c r="I22" s="87">
        <f t="shared" si="0"/>
        <v>608448.48742352147</v>
      </c>
      <c r="J22" s="87">
        <f t="shared" si="0"/>
        <v>6084.6363018354859</v>
      </c>
      <c r="K22" s="9"/>
      <c r="L22" s="81"/>
      <c r="M22" s="87">
        <f t="shared" si="1"/>
        <v>0</v>
      </c>
    </row>
    <row r="23" spans="3:13" x14ac:dyDescent="0.25">
      <c r="C23" s="26">
        <v>590556</v>
      </c>
      <c r="D23">
        <v>5906</v>
      </c>
      <c r="E23" s="46" t="s">
        <v>320</v>
      </c>
      <c r="F23" s="167" t="s">
        <v>276</v>
      </c>
      <c r="G23" s="167"/>
      <c r="H23" s="167"/>
      <c r="I23" s="87">
        <f t="shared" si="0"/>
        <v>812967.98096532968</v>
      </c>
      <c r="J23" s="87">
        <f t="shared" si="0"/>
        <v>8130.2855200543845</v>
      </c>
      <c r="K23" s="9"/>
      <c r="L23" s="81">
        <v>0</v>
      </c>
      <c r="M23" s="87">
        <f t="shared" si="1"/>
        <v>0</v>
      </c>
    </row>
    <row r="24" spans="3:13" x14ac:dyDescent="0.25">
      <c r="C24" s="26">
        <v>859478</v>
      </c>
      <c r="D24">
        <v>8595</v>
      </c>
      <c r="E24" s="46" t="s">
        <v>321</v>
      </c>
      <c r="F24" s="167" t="s">
        <v>277</v>
      </c>
      <c r="G24" s="167"/>
      <c r="H24" s="167"/>
      <c r="I24" s="87">
        <f t="shared" si="0"/>
        <v>1183169.9184228417</v>
      </c>
      <c r="J24" s="87">
        <f t="shared" si="0"/>
        <v>11832.00203942896</v>
      </c>
      <c r="K24" s="9"/>
      <c r="L24" s="81">
        <v>0</v>
      </c>
      <c r="M24" s="87">
        <f t="shared" si="1"/>
        <v>0</v>
      </c>
    </row>
    <row r="25" spans="3:13" x14ac:dyDescent="0.25">
      <c r="C25" s="26">
        <v>959513</v>
      </c>
      <c r="D25">
        <v>9595</v>
      </c>
      <c r="E25" s="46" t="s">
        <v>322</v>
      </c>
      <c r="F25" s="167" t="s">
        <v>278</v>
      </c>
      <c r="G25" s="167"/>
      <c r="H25" s="167"/>
      <c r="I25" s="87">
        <f t="shared" si="0"/>
        <v>1320879.554724677</v>
      </c>
      <c r="J25" s="87">
        <f t="shared" si="0"/>
        <v>13208.61658735554</v>
      </c>
      <c r="K25" s="9"/>
      <c r="L25" s="81">
        <v>0</v>
      </c>
      <c r="M25" s="87">
        <f t="shared" si="1"/>
        <v>0</v>
      </c>
    </row>
    <row r="26" spans="3:13" x14ac:dyDescent="0.25">
      <c r="C26" s="26">
        <v>1123811</v>
      </c>
      <c r="D26">
        <v>11238</v>
      </c>
      <c r="E26" s="46" t="s">
        <v>323</v>
      </c>
      <c r="F26" s="167" t="s">
        <v>279</v>
      </c>
      <c r="G26" s="167"/>
      <c r="H26" s="167"/>
      <c r="I26" s="87">
        <f t="shared" si="0"/>
        <v>1547054.5717199184</v>
      </c>
      <c r="J26" s="87">
        <f t="shared" si="0"/>
        <v>15470.394289598913</v>
      </c>
      <c r="K26" s="9"/>
      <c r="L26" s="81">
        <v>0</v>
      </c>
      <c r="M26" s="87">
        <f t="shared" si="1"/>
        <v>0</v>
      </c>
    </row>
    <row r="27" spans="3:13" x14ac:dyDescent="0.25">
      <c r="C27" s="26"/>
      <c r="E27" s="46"/>
      <c r="F27" s="76"/>
      <c r="G27" s="76"/>
      <c r="H27" s="82"/>
      <c r="I27" s="82"/>
      <c r="J27" s="82"/>
      <c r="K27" s="83"/>
      <c r="L27" s="84"/>
      <c r="M27" s="88"/>
    </row>
    <row r="28" spans="3:13" x14ac:dyDescent="0.25">
      <c r="C28" s="26">
        <v>27160</v>
      </c>
      <c r="E28" s="46" t="s">
        <v>324</v>
      </c>
      <c r="F28" s="169" t="s">
        <v>283</v>
      </c>
      <c r="G28" s="169"/>
      <c r="H28" s="169"/>
      <c r="I28" s="169"/>
      <c r="J28" s="169"/>
      <c r="K28" s="83"/>
      <c r="L28" s="85">
        <v>0</v>
      </c>
      <c r="M28" s="88">
        <f>+L28*(($M$76/$M$75)*C28)</f>
        <v>0</v>
      </c>
    </row>
    <row r="29" spans="3:13" x14ac:dyDescent="0.25">
      <c r="C29" s="26"/>
      <c r="E29" s="165"/>
      <c r="F29" s="165"/>
      <c r="G29" s="165"/>
      <c r="H29" s="165"/>
      <c r="I29" s="165"/>
      <c r="J29" s="165"/>
      <c r="K29" s="165"/>
      <c r="L29" s="165"/>
      <c r="M29" s="165"/>
    </row>
    <row r="30" spans="3:13" x14ac:dyDescent="0.25">
      <c r="C30" s="26"/>
      <c r="E30" s="166" t="s">
        <v>325</v>
      </c>
      <c r="F30" s="166"/>
      <c r="G30" s="166"/>
      <c r="H30" s="166"/>
      <c r="I30" s="166"/>
      <c r="J30" s="166"/>
      <c r="K30" s="166"/>
      <c r="L30" s="166"/>
      <c r="M30" s="63">
        <f>+M28+M26+M25+M24+M23+M22+M21+M20+M19</f>
        <v>0</v>
      </c>
    </row>
    <row r="31" spans="3:13" x14ac:dyDescent="0.25">
      <c r="C31" s="26"/>
      <c r="E31" s="157"/>
      <c r="F31" s="157"/>
      <c r="G31" s="157"/>
      <c r="H31" s="157"/>
      <c r="I31" s="157"/>
      <c r="J31" s="157"/>
      <c r="K31" s="157"/>
      <c r="L31" s="157"/>
      <c r="M31" s="157"/>
    </row>
    <row r="32" spans="3:13" x14ac:dyDescent="0.25">
      <c r="C32" s="26"/>
      <c r="E32" s="74"/>
      <c r="F32" s="74"/>
      <c r="G32" s="74"/>
      <c r="H32" s="74"/>
      <c r="I32" s="74"/>
      <c r="J32" s="74"/>
      <c r="K32" s="74"/>
      <c r="L32" s="74"/>
      <c r="M32" s="74"/>
    </row>
    <row r="33" spans="3:13" x14ac:dyDescent="0.25">
      <c r="C33" s="26"/>
      <c r="E33" s="74"/>
      <c r="F33" s="74"/>
      <c r="G33" s="74"/>
      <c r="H33" s="74"/>
      <c r="I33" s="74"/>
      <c r="J33" s="74"/>
      <c r="K33" s="74"/>
      <c r="L33" s="74"/>
      <c r="M33" s="74"/>
    </row>
    <row r="34" spans="3:13" collapsed="1" x14ac:dyDescent="0.25">
      <c r="C34" s="26"/>
      <c r="E34" s="16" t="s">
        <v>326</v>
      </c>
      <c r="F34" s="136" t="s">
        <v>284</v>
      </c>
      <c r="G34" s="136"/>
      <c r="H34" s="136"/>
      <c r="I34" s="136"/>
      <c r="J34" s="136"/>
      <c r="K34" s="136"/>
      <c r="L34" s="136"/>
      <c r="M34" s="136"/>
    </row>
    <row r="35" spans="3:13" x14ac:dyDescent="0.25">
      <c r="C35" s="26">
        <v>250000</v>
      </c>
      <c r="E35" s="46" t="s">
        <v>327</v>
      </c>
      <c r="F35" s="6" t="s">
        <v>285</v>
      </c>
      <c r="G35" s="6"/>
      <c r="H35" s="6"/>
      <c r="I35" s="6"/>
      <c r="J35" s="87">
        <f>$M$76/$M$75*C35</f>
        <v>344153.63698164513</v>
      </c>
      <c r="K35" s="6"/>
      <c r="L35" s="85">
        <v>0</v>
      </c>
      <c r="M35" s="86">
        <v>0</v>
      </c>
    </row>
    <row r="36" spans="3:13" x14ac:dyDescent="0.25">
      <c r="C36" s="26"/>
      <c r="E36" s="165"/>
      <c r="F36" s="165"/>
      <c r="G36" s="165"/>
      <c r="H36" s="165"/>
      <c r="I36" s="165"/>
      <c r="J36" s="165"/>
      <c r="K36" s="165"/>
      <c r="L36" s="165"/>
      <c r="M36" s="165"/>
    </row>
    <row r="37" spans="3:13" x14ac:dyDescent="0.25">
      <c r="C37" s="26"/>
      <c r="E37" s="166" t="s">
        <v>328</v>
      </c>
      <c r="F37" s="166"/>
      <c r="G37" s="166"/>
      <c r="H37" s="166"/>
      <c r="I37" s="166"/>
      <c r="J37" s="166"/>
      <c r="K37" s="166"/>
      <c r="L37" s="166"/>
      <c r="M37" s="63">
        <f>+M35</f>
        <v>0</v>
      </c>
    </row>
    <row r="38" spans="3:13" x14ac:dyDescent="0.25">
      <c r="C38" s="26"/>
      <c r="E38" s="157"/>
      <c r="F38" s="157"/>
      <c r="G38" s="157"/>
      <c r="H38" s="157"/>
      <c r="I38" s="157"/>
      <c r="J38" s="157"/>
      <c r="K38" s="157"/>
      <c r="L38" s="157"/>
      <c r="M38" s="157"/>
    </row>
    <row r="39" spans="3:13" x14ac:dyDescent="0.25">
      <c r="C39" s="26"/>
      <c r="E39" s="74"/>
      <c r="F39" s="74"/>
      <c r="G39" s="74"/>
      <c r="H39" s="74"/>
      <c r="I39" s="74"/>
      <c r="J39" s="74"/>
      <c r="K39" s="74"/>
      <c r="L39" s="74"/>
      <c r="M39" s="74"/>
    </row>
    <row r="40" spans="3:13" x14ac:dyDescent="0.25">
      <c r="C40" s="26"/>
      <c r="E40" s="74"/>
      <c r="F40" s="74"/>
      <c r="G40" s="74"/>
      <c r="H40" s="74"/>
      <c r="I40" s="74"/>
      <c r="J40" s="74"/>
      <c r="K40" s="74"/>
      <c r="L40" s="74"/>
      <c r="M40" s="74"/>
    </row>
    <row r="41" spans="3:13" x14ac:dyDescent="0.25">
      <c r="C41" s="26"/>
      <c r="E41" s="16" t="s">
        <v>329</v>
      </c>
      <c r="F41" s="136" t="s">
        <v>286</v>
      </c>
      <c r="G41" s="136"/>
      <c r="H41" s="136"/>
      <c r="I41" s="136"/>
      <c r="J41" s="136"/>
      <c r="K41" s="136"/>
      <c r="L41" s="136"/>
      <c r="M41" s="136"/>
    </row>
    <row r="42" spans="3:13" ht="30" x14ac:dyDescent="0.25">
      <c r="C42" s="26"/>
      <c r="F42" s="97" t="s">
        <v>287</v>
      </c>
      <c r="G42" s="89" t="s">
        <v>288</v>
      </c>
      <c r="H42" s="91" t="s">
        <v>289</v>
      </c>
      <c r="I42" s="8" t="s">
        <v>299</v>
      </c>
      <c r="J42" s="8" t="s">
        <v>290</v>
      </c>
      <c r="K42" s="152" t="s">
        <v>300</v>
      </c>
      <c r="L42" s="152"/>
      <c r="M42" s="69"/>
    </row>
    <row r="43" spans="3:13" ht="24" customHeight="1" x14ac:dyDescent="0.25">
      <c r="C43" s="26">
        <v>8035</v>
      </c>
      <c r="D43">
        <v>22</v>
      </c>
      <c r="E43" s="46" t="s">
        <v>330</v>
      </c>
      <c r="F43" s="6" t="s">
        <v>291</v>
      </c>
      <c r="G43" s="89">
        <v>25</v>
      </c>
      <c r="H43" s="87">
        <f t="shared" ref="H43:H50" si="2">+C43*($M$76/$M$75)</f>
        <v>11061.097892590074</v>
      </c>
      <c r="I43" s="90">
        <v>0</v>
      </c>
      <c r="J43" s="87">
        <f t="shared" ref="J43:J50" si="3">+D43*($M$76/$M$75)</f>
        <v>30.285520054384772</v>
      </c>
      <c r="K43" s="171">
        <v>0</v>
      </c>
      <c r="L43" s="171"/>
      <c r="M43" s="87">
        <f>+K43*J43+I43*H43</f>
        <v>0</v>
      </c>
    </row>
    <row r="44" spans="3:13" x14ac:dyDescent="0.25">
      <c r="C44" s="26">
        <v>8520</v>
      </c>
      <c r="D44">
        <v>23</v>
      </c>
      <c r="E44" s="46" t="s">
        <v>331</v>
      </c>
      <c r="F44" s="6" t="s">
        <v>296</v>
      </c>
      <c r="G44" s="89">
        <v>30</v>
      </c>
      <c r="H44" s="87">
        <f t="shared" si="2"/>
        <v>11728.755948334467</v>
      </c>
      <c r="I44" s="90">
        <v>0</v>
      </c>
      <c r="J44" s="87">
        <f t="shared" si="3"/>
        <v>31.662134602311355</v>
      </c>
      <c r="K44" s="171">
        <v>0</v>
      </c>
      <c r="L44" s="171"/>
      <c r="M44" s="87">
        <f t="shared" ref="M44:M50" si="4">+K44*J44+I44*H44</f>
        <v>0</v>
      </c>
    </row>
    <row r="45" spans="3:13" x14ac:dyDescent="0.25">
      <c r="C45" s="26">
        <v>10495</v>
      </c>
      <c r="D45">
        <v>29</v>
      </c>
      <c r="E45" s="46" t="s">
        <v>332</v>
      </c>
      <c r="F45" s="6" t="s">
        <v>297</v>
      </c>
      <c r="G45" s="89">
        <v>40</v>
      </c>
      <c r="H45" s="87">
        <f t="shared" si="2"/>
        <v>14447.569680489463</v>
      </c>
      <c r="I45" s="90">
        <v>0</v>
      </c>
      <c r="J45" s="87">
        <f t="shared" si="3"/>
        <v>39.921821889870834</v>
      </c>
      <c r="K45" s="171">
        <v>0</v>
      </c>
      <c r="L45" s="171"/>
      <c r="M45" s="87">
        <f t="shared" si="4"/>
        <v>0</v>
      </c>
    </row>
    <row r="46" spans="3:13" x14ac:dyDescent="0.25">
      <c r="C46" s="26">
        <v>13918</v>
      </c>
      <c r="D46">
        <v>38</v>
      </c>
      <c r="E46" s="46" t="s">
        <v>333</v>
      </c>
      <c r="F46" s="6" t="s">
        <v>292</v>
      </c>
      <c r="G46" s="89">
        <v>50</v>
      </c>
      <c r="H46" s="87">
        <f t="shared" si="2"/>
        <v>19159.721278042147</v>
      </c>
      <c r="I46" s="90">
        <v>0</v>
      </c>
      <c r="J46" s="87">
        <f t="shared" si="3"/>
        <v>52.311352821210065</v>
      </c>
      <c r="K46" s="171">
        <v>0</v>
      </c>
      <c r="L46" s="171"/>
      <c r="M46" s="87">
        <f t="shared" si="4"/>
        <v>0</v>
      </c>
    </row>
    <row r="47" spans="3:13" x14ac:dyDescent="0.25">
      <c r="C47" s="26">
        <v>21111</v>
      </c>
      <c r="D47">
        <v>58</v>
      </c>
      <c r="E47" s="46" t="s">
        <v>334</v>
      </c>
      <c r="F47" s="6" t="s">
        <v>298</v>
      </c>
      <c r="G47" s="89">
        <v>65</v>
      </c>
      <c r="H47" s="87">
        <f t="shared" si="2"/>
        <v>29061.709721278043</v>
      </c>
      <c r="I47" s="90">
        <v>0</v>
      </c>
      <c r="J47" s="87">
        <f t="shared" si="3"/>
        <v>79.843643779741669</v>
      </c>
      <c r="K47" s="171">
        <v>0</v>
      </c>
      <c r="L47" s="171"/>
      <c r="M47" s="87">
        <f t="shared" si="4"/>
        <v>0</v>
      </c>
    </row>
    <row r="48" spans="3:13" x14ac:dyDescent="0.25">
      <c r="C48" s="26">
        <v>30412</v>
      </c>
      <c r="D48">
        <v>83</v>
      </c>
      <c r="E48" s="46" t="s">
        <v>335</v>
      </c>
      <c r="F48" s="6" t="s">
        <v>293</v>
      </c>
      <c r="G48" s="89">
        <v>80</v>
      </c>
      <c r="H48" s="87">
        <f t="shared" si="2"/>
        <v>41865.60163154317</v>
      </c>
      <c r="I48" s="90">
        <v>0</v>
      </c>
      <c r="J48" s="87">
        <f t="shared" si="3"/>
        <v>114.25900747790618</v>
      </c>
      <c r="K48" s="171">
        <v>0</v>
      </c>
      <c r="L48" s="171"/>
      <c r="M48" s="87">
        <f t="shared" si="4"/>
        <v>0</v>
      </c>
    </row>
    <row r="49" spans="3:13" x14ac:dyDescent="0.25">
      <c r="C49" s="26">
        <v>38861</v>
      </c>
      <c r="D49">
        <v>106</v>
      </c>
      <c r="E49" s="46" t="s">
        <v>336</v>
      </c>
      <c r="F49" s="6" t="s">
        <v>294</v>
      </c>
      <c r="G49" s="89">
        <v>100</v>
      </c>
      <c r="H49" s="87">
        <f t="shared" si="2"/>
        <v>53496.617946974846</v>
      </c>
      <c r="I49" s="90">
        <v>0</v>
      </c>
      <c r="J49" s="87">
        <f t="shared" si="3"/>
        <v>145.92114208021755</v>
      </c>
      <c r="K49" s="171">
        <v>0</v>
      </c>
      <c r="L49" s="171"/>
      <c r="M49" s="87">
        <f t="shared" si="4"/>
        <v>0</v>
      </c>
    </row>
    <row r="50" spans="3:13" x14ac:dyDescent="0.25">
      <c r="C50" s="26">
        <v>44807</v>
      </c>
      <c r="D50">
        <v>123</v>
      </c>
      <c r="E50" s="46" t="s">
        <v>337</v>
      </c>
      <c r="F50" s="6" t="s">
        <v>295</v>
      </c>
      <c r="G50" s="89">
        <v>150</v>
      </c>
      <c r="H50" s="87">
        <f t="shared" si="2"/>
        <v>61681.968048946292</v>
      </c>
      <c r="I50" s="90">
        <v>0</v>
      </c>
      <c r="J50" s="87">
        <f t="shared" si="3"/>
        <v>169.32358939496942</v>
      </c>
      <c r="K50" s="171">
        <v>0</v>
      </c>
      <c r="L50" s="171"/>
      <c r="M50" s="87">
        <f t="shared" si="4"/>
        <v>0</v>
      </c>
    </row>
    <row r="51" spans="3:13" x14ac:dyDescent="0.25">
      <c r="C51" s="26"/>
      <c r="E51" s="165"/>
      <c r="F51" s="165"/>
      <c r="G51" s="165"/>
      <c r="H51" s="165"/>
      <c r="I51" s="165"/>
      <c r="J51" s="165"/>
      <c r="K51" s="165"/>
      <c r="L51" s="165"/>
      <c r="M51" s="165"/>
    </row>
    <row r="52" spans="3:13" x14ac:dyDescent="0.25">
      <c r="C52" s="26"/>
      <c r="E52" s="166" t="s">
        <v>338</v>
      </c>
      <c r="F52" s="166"/>
      <c r="G52" s="166"/>
      <c r="H52" s="166"/>
      <c r="I52" s="166"/>
      <c r="J52" s="166"/>
      <c r="K52" s="166"/>
      <c r="L52" s="166"/>
      <c r="M52" s="63">
        <f>+M50+M49+M48</f>
        <v>0</v>
      </c>
    </row>
    <row r="53" spans="3:13" x14ac:dyDescent="0.25">
      <c r="C53" s="26"/>
      <c r="E53" s="157"/>
      <c r="F53" s="157"/>
      <c r="G53" s="157"/>
      <c r="H53" s="157"/>
      <c r="I53" s="157"/>
      <c r="J53" s="157"/>
      <c r="K53" s="157"/>
      <c r="L53" s="157"/>
      <c r="M53" s="157"/>
    </row>
    <row r="54" spans="3:13" ht="10.5" customHeight="1" x14ac:dyDescent="0.25">
      <c r="C54" s="26"/>
      <c r="E54" s="74"/>
      <c r="F54" s="74"/>
      <c r="G54" s="74"/>
      <c r="H54" s="74"/>
      <c r="I54" s="74"/>
      <c r="J54" s="74"/>
      <c r="K54" s="74"/>
      <c r="L54" s="74"/>
      <c r="M54" s="74"/>
    </row>
    <row r="55" spans="3:13" ht="12" customHeight="1" x14ac:dyDescent="0.25">
      <c r="C55" s="26"/>
      <c r="E55" s="74"/>
      <c r="F55" s="74"/>
      <c r="G55" s="74"/>
      <c r="H55" s="74"/>
      <c r="I55" s="74"/>
      <c r="J55" s="74"/>
      <c r="K55" s="74"/>
      <c r="L55" s="74"/>
      <c r="M55" s="74"/>
    </row>
    <row r="56" spans="3:13" x14ac:dyDescent="0.25">
      <c r="C56" s="26"/>
      <c r="E56" s="16" t="s">
        <v>339</v>
      </c>
      <c r="F56" s="136" t="s">
        <v>301</v>
      </c>
      <c r="G56" s="136"/>
      <c r="H56" s="136"/>
      <c r="I56" s="136"/>
      <c r="J56" s="136"/>
      <c r="K56" s="136"/>
      <c r="L56" s="136"/>
      <c r="M56" s="136"/>
    </row>
    <row r="57" spans="3:13" x14ac:dyDescent="0.25">
      <c r="C57" s="26">
        <v>10735</v>
      </c>
      <c r="E57" s="46" t="s">
        <v>340</v>
      </c>
      <c r="F57" s="172" t="s">
        <v>302</v>
      </c>
      <c r="G57" s="172"/>
      <c r="H57" s="172"/>
      <c r="I57" s="172"/>
      <c r="J57" s="172"/>
      <c r="K57" s="172"/>
      <c r="L57" s="81">
        <v>0</v>
      </c>
      <c r="M57" s="87">
        <f>+L57*(C57*($M$76/$M$75))</f>
        <v>0</v>
      </c>
    </row>
    <row r="58" spans="3:13" x14ac:dyDescent="0.25">
      <c r="C58" s="26"/>
      <c r="E58" s="46" t="s">
        <v>341</v>
      </c>
      <c r="F58" s="172" t="s">
        <v>303</v>
      </c>
      <c r="G58" s="172"/>
      <c r="H58" s="172"/>
      <c r="I58" s="172"/>
      <c r="J58" s="172"/>
      <c r="K58" s="74"/>
      <c r="L58" s="74"/>
      <c r="M58" s="74"/>
    </row>
    <row r="59" spans="3:13" x14ac:dyDescent="0.25">
      <c r="C59" s="26">
        <v>3428</v>
      </c>
      <c r="E59" s="46"/>
      <c r="F59" s="74"/>
      <c r="G59" s="92" t="s">
        <v>304</v>
      </c>
      <c r="H59" s="74"/>
      <c r="I59" s="93">
        <f>C59*($M$76/$M$75)</f>
        <v>4719.034670292318</v>
      </c>
      <c r="J59" s="74"/>
      <c r="K59" s="74"/>
      <c r="L59" s="81">
        <v>0</v>
      </c>
      <c r="M59" s="87">
        <f>+L59*I59</f>
        <v>0</v>
      </c>
    </row>
    <row r="60" spans="3:13" x14ac:dyDescent="0.25">
      <c r="C60" s="26">
        <v>6916</v>
      </c>
      <c r="E60" s="46"/>
      <c r="F60" s="74"/>
      <c r="G60" s="92" t="s">
        <v>305</v>
      </c>
      <c r="H60" s="74"/>
      <c r="I60" s="93">
        <f>C60*($M$76/$M$75)</f>
        <v>9520.666213460232</v>
      </c>
      <c r="J60" s="74"/>
      <c r="K60" s="74"/>
      <c r="L60" s="81">
        <v>0</v>
      </c>
      <c r="M60" s="87">
        <f>+L60*I60</f>
        <v>0</v>
      </c>
    </row>
    <row r="61" spans="3:13" x14ac:dyDescent="0.25">
      <c r="C61" s="26"/>
      <c r="E61" s="165"/>
      <c r="F61" s="165"/>
      <c r="G61" s="165"/>
      <c r="H61" s="165"/>
      <c r="I61" s="165"/>
      <c r="J61" s="165"/>
      <c r="K61" s="165"/>
      <c r="L61" s="165"/>
      <c r="M61" s="165"/>
    </row>
    <row r="62" spans="3:13" x14ac:dyDescent="0.25">
      <c r="C62" s="26"/>
      <c r="E62" s="166" t="s">
        <v>342</v>
      </c>
      <c r="F62" s="166"/>
      <c r="G62" s="166"/>
      <c r="H62" s="166"/>
      <c r="I62" s="166"/>
      <c r="J62" s="166"/>
      <c r="K62" s="166"/>
      <c r="L62" s="166"/>
      <c r="M62" s="63">
        <f>+M60+M59+M57</f>
        <v>0</v>
      </c>
    </row>
    <row r="63" spans="3:13" x14ac:dyDescent="0.25">
      <c r="C63" s="26"/>
      <c r="E63" s="157"/>
      <c r="F63" s="157"/>
      <c r="G63" s="157"/>
      <c r="H63" s="157"/>
      <c r="I63" s="157"/>
      <c r="J63" s="157"/>
      <c r="K63" s="157"/>
      <c r="L63" s="157"/>
      <c r="M63" s="157"/>
    </row>
    <row r="64" spans="3:13" ht="10.5" customHeight="1" x14ac:dyDescent="0.25">
      <c r="C64" s="26"/>
      <c r="E64" s="74"/>
      <c r="F64" s="74"/>
      <c r="G64" s="74"/>
      <c r="H64" s="74"/>
      <c r="I64" s="74"/>
      <c r="J64" s="74"/>
      <c r="K64" s="74"/>
      <c r="L64" s="74"/>
      <c r="M64" s="74"/>
    </row>
    <row r="65" spans="3:13" ht="10.5" customHeight="1" x14ac:dyDescent="0.25">
      <c r="C65" s="26"/>
      <c r="E65" s="74"/>
      <c r="F65" s="74"/>
      <c r="G65" s="74"/>
      <c r="H65" s="74"/>
      <c r="I65" s="74"/>
      <c r="J65" s="74"/>
      <c r="K65" s="74"/>
      <c r="L65" s="74"/>
      <c r="M65" s="74"/>
    </row>
    <row r="66" spans="3:13" x14ac:dyDescent="0.25">
      <c r="C66" s="26"/>
      <c r="E66" s="16" t="s">
        <v>343</v>
      </c>
      <c r="F66" s="136" t="s">
        <v>306</v>
      </c>
      <c r="G66" s="136"/>
      <c r="H66" s="136"/>
      <c r="I66" s="136"/>
      <c r="J66" s="136"/>
      <c r="K66" s="136"/>
      <c r="L66" s="136"/>
      <c r="M66" s="136"/>
    </row>
    <row r="67" spans="3:13" ht="35.25" customHeight="1" x14ac:dyDescent="0.25">
      <c r="C67" s="94">
        <v>12.1</v>
      </c>
      <c r="E67" s="46" t="s">
        <v>344</v>
      </c>
      <c r="F67" s="173" t="s">
        <v>307</v>
      </c>
      <c r="G67" s="173"/>
      <c r="H67" s="173"/>
      <c r="I67" s="173"/>
      <c r="J67" s="95">
        <f>C67*($M$76/$M$75)</f>
        <v>16.657036029911623</v>
      </c>
      <c r="K67" s="74"/>
      <c r="L67" s="96">
        <v>0</v>
      </c>
      <c r="M67" s="87">
        <f>+L67*J67</f>
        <v>0</v>
      </c>
    </row>
    <row r="68" spans="3:13" x14ac:dyDescent="0.25">
      <c r="C68" s="26"/>
      <c r="E68" s="165"/>
      <c r="F68" s="165"/>
      <c r="G68" s="165"/>
      <c r="H68" s="165"/>
      <c r="I68" s="165"/>
      <c r="J68" s="165"/>
      <c r="K68" s="165"/>
      <c r="L68" s="165"/>
      <c r="M68" s="165"/>
    </row>
    <row r="69" spans="3:13" x14ac:dyDescent="0.25">
      <c r="C69" s="26"/>
      <c r="E69" s="166" t="s">
        <v>345</v>
      </c>
      <c r="F69" s="166"/>
      <c r="G69" s="166"/>
      <c r="H69" s="166"/>
      <c r="I69" s="166"/>
      <c r="J69" s="166"/>
      <c r="K69" s="166"/>
      <c r="L69" s="166"/>
      <c r="M69" s="63">
        <f>+M67</f>
        <v>0</v>
      </c>
    </row>
    <row r="70" spans="3:13" x14ac:dyDescent="0.25">
      <c r="C70" s="26"/>
      <c r="E70" s="157"/>
      <c r="F70" s="157"/>
      <c r="G70" s="157"/>
      <c r="H70" s="157"/>
      <c r="I70" s="157"/>
      <c r="J70" s="157"/>
      <c r="K70" s="157"/>
      <c r="L70" s="157"/>
      <c r="M70" s="157"/>
    </row>
    <row r="71" spans="3:13" x14ac:dyDescent="0.25">
      <c r="C71" s="26"/>
      <c r="E71" s="46"/>
      <c r="F71" s="8"/>
      <c r="G71" s="8"/>
      <c r="H71" s="8"/>
      <c r="I71" s="8"/>
      <c r="J71" s="8"/>
      <c r="K71" s="8"/>
      <c r="L71" s="8"/>
      <c r="M71" s="8"/>
    </row>
    <row r="72" spans="3:13" x14ac:dyDescent="0.25">
      <c r="E72" s="99"/>
      <c r="F72" s="99"/>
      <c r="G72" s="99"/>
      <c r="H72" s="99"/>
      <c r="I72" s="99"/>
      <c r="J72" s="106"/>
      <c r="K72" s="175" t="s">
        <v>106</v>
      </c>
      <c r="L72" s="175"/>
      <c r="M72" s="107">
        <f>+M13+M30+M37+M52+M62</f>
        <v>0</v>
      </c>
    </row>
    <row r="73" spans="3:13" x14ac:dyDescent="0.25">
      <c r="E73" s="99"/>
      <c r="F73" s="99"/>
      <c r="G73" s="99"/>
      <c r="H73" s="99"/>
      <c r="I73" s="99"/>
      <c r="J73" s="99"/>
      <c r="K73" s="99"/>
      <c r="L73" s="99"/>
      <c r="M73" s="99"/>
    </row>
    <row r="74" spans="3:13" x14ac:dyDescent="0.25">
      <c r="E74" s="162" t="s">
        <v>308</v>
      </c>
      <c r="F74" s="163"/>
      <c r="G74" s="163"/>
      <c r="H74" s="163"/>
      <c r="I74" s="164"/>
      <c r="J74" s="162" t="s">
        <v>379</v>
      </c>
      <c r="K74" s="163"/>
      <c r="L74" s="163"/>
      <c r="M74" s="164"/>
    </row>
    <row r="75" spans="3:13" ht="15" customHeight="1" x14ac:dyDescent="0.25">
      <c r="E75" s="161" t="s">
        <v>309</v>
      </c>
      <c r="F75" s="156"/>
      <c r="G75" s="156"/>
      <c r="H75" s="156"/>
      <c r="I75" s="100">
        <v>292.3</v>
      </c>
      <c r="J75" s="161" t="s">
        <v>280</v>
      </c>
      <c r="K75" s="156"/>
      <c r="L75" s="156"/>
      <c r="M75" s="102">
        <v>147.1</v>
      </c>
    </row>
    <row r="76" spans="3:13" ht="15" customHeight="1" x14ac:dyDescent="0.25">
      <c r="E76" s="161" t="s">
        <v>356</v>
      </c>
      <c r="F76" s="156"/>
      <c r="G76" s="156"/>
      <c r="H76" s="156"/>
      <c r="I76" s="70">
        <v>416.5</v>
      </c>
      <c r="J76" s="161" t="s">
        <v>281</v>
      </c>
      <c r="K76" s="156"/>
      <c r="L76" s="156"/>
      <c r="M76" s="102">
        <f>+Vísitölur_frá_Hagstofu[Byggingarvísitala jan]</f>
        <v>202.5</v>
      </c>
    </row>
    <row r="77" spans="3:13" ht="15" customHeight="1" x14ac:dyDescent="0.25">
      <c r="E77" s="161" t="s">
        <v>310</v>
      </c>
      <c r="F77" s="156"/>
      <c r="G77" s="156"/>
      <c r="H77" s="156"/>
      <c r="I77" s="100">
        <v>712.1</v>
      </c>
      <c r="J77" s="103"/>
      <c r="K77" s="8"/>
      <c r="L77" s="8"/>
      <c r="M77" s="100"/>
    </row>
    <row r="78" spans="3:13" ht="15" customHeight="1" x14ac:dyDescent="0.25">
      <c r="E78" s="161" t="s">
        <v>311</v>
      </c>
      <c r="F78" s="156"/>
      <c r="G78" s="156"/>
      <c r="H78" s="156"/>
      <c r="I78" s="102">
        <f>+Vísitölur_frá_Hagstofu[Vísitala]</f>
        <v>1030.5999999999999</v>
      </c>
      <c r="J78" s="103"/>
      <c r="K78" s="8"/>
      <c r="L78" s="8"/>
      <c r="M78" s="100"/>
    </row>
    <row r="79" spans="3:13" ht="15" customHeight="1" x14ac:dyDescent="0.25">
      <c r="E79" s="161" t="s">
        <v>312</v>
      </c>
      <c r="F79" s="156"/>
      <c r="G79" s="156"/>
      <c r="H79" s="156"/>
      <c r="I79" s="135" t="e">
        <f>+Vísitölur_frá_Hagstofu[Rúmmetraverð]</f>
        <v>#DIV/0!</v>
      </c>
      <c r="J79" s="103"/>
      <c r="K79" s="8"/>
      <c r="L79" s="8"/>
      <c r="M79" s="100"/>
    </row>
    <row r="80" spans="3:13" ht="15" customHeight="1" x14ac:dyDescent="0.25">
      <c r="E80" s="161" t="s">
        <v>254</v>
      </c>
      <c r="F80" s="156"/>
      <c r="G80" s="156"/>
      <c r="H80" s="156"/>
      <c r="I80" s="108">
        <v>117895</v>
      </c>
      <c r="J80" s="103"/>
      <c r="K80" s="8"/>
      <c r="L80" s="8"/>
      <c r="M80" s="100"/>
    </row>
    <row r="81" spans="5:13" ht="15" customHeight="1" x14ac:dyDescent="0.25">
      <c r="E81" s="159" t="s">
        <v>313</v>
      </c>
      <c r="F81" s="160"/>
      <c r="G81" s="160"/>
      <c r="H81" s="160"/>
      <c r="I81" s="130">
        <f>+Vísitölur_frá_Hagstofu[Fermetraverð]</f>
        <v>321516</v>
      </c>
      <c r="J81" s="104"/>
      <c r="K81" s="105"/>
      <c r="L81" s="105"/>
      <c r="M81" s="101"/>
    </row>
    <row r="82" spans="5:13" x14ac:dyDescent="0.25">
      <c r="E82" s="8"/>
      <c r="F82" s="8"/>
      <c r="G82" s="8"/>
      <c r="H82" s="8"/>
      <c r="I82" s="8"/>
      <c r="J82" s="8"/>
      <c r="K82" s="8"/>
      <c r="L82" s="8"/>
      <c r="M82" s="8"/>
    </row>
    <row r="83" spans="5:13" x14ac:dyDescent="0.25">
      <c r="E83" s="8" t="str">
        <f>+Heild!E236</f>
        <v>Gjaldskrá fyrir byggingarleyfis- og þjónustugjöld í Svf. Ölfusi 31.1.2019</v>
      </c>
      <c r="F83" s="8"/>
      <c r="G83" s="8"/>
      <c r="H83" s="8"/>
      <c r="I83" s="8"/>
      <c r="J83" s="8"/>
      <c r="K83" s="8"/>
      <c r="L83" s="8"/>
      <c r="M83" s="8"/>
    </row>
    <row r="84" spans="5:13" x14ac:dyDescent="0.25">
      <c r="E84" s="8" t="str">
        <f>+Heild!E237</f>
        <v>Gjöld skv. samþykkt um gatnagerðargjöld fyrir Sveitarfélagið Ölfus, 20. ágúst 2020</v>
      </c>
      <c r="F84" s="8"/>
      <c r="G84" s="8"/>
      <c r="H84" s="8"/>
      <c r="I84" s="8"/>
      <c r="J84" s="8"/>
      <c r="K84" s="8"/>
      <c r="L84" s="8"/>
      <c r="M84" s="8"/>
    </row>
    <row r="85" spans="5:13" x14ac:dyDescent="0.25">
      <c r="E85" s="8" t="str">
        <f>+Heild!E238</f>
        <v>Það % hlutfall sem gefið er upp er hlutfall af vísitölu fermetrakostnaði við vísitölu hús byggt á grunni frá 1987.</v>
      </c>
      <c r="F85" s="8"/>
      <c r="G85" s="8"/>
      <c r="H85" s="8"/>
      <c r="I85" s="8"/>
      <c r="J85" s="8"/>
      <c r="K85" s="8"/>
      <c r="L85" s="8"/>
      <c r="M85" s="8"/>
    </row>
  </sheetData>
  <dataConsolidate link="1"/>
  <mergeCells count="72">
    <mergeCell ref="E78:H78"/>
    <mergeCell ref="E79:H79"/>
    <mergeCell ref="E80:H80"/>
    <mergeCell ref="E81:H81"/>
    <mergeCell ref="E70:M70"/>
    <mergeCell ref="K72:L72"/>
    <mergeCell ref="E74:I74"/>
    <mergeCell ref="J74:M74"/>
    <mergeCell ref="E75:H75"/>
    <mergeCell ref="E77:H77"/>
    <mergeCell ref="J75:L75"/>
    <mergeCell ref="J76:L76"/>
    <mergeCell ref="E76:H76"/>
    <mergeCell ref="F66:M66"/>
    <mergeCell ref="F67:I67"/>
    <mergeCell ref="E68:M68"/>
    <mergeCell ref="E69:L69"/>
    <mergeCell ref="F28:J28"/>
    <mergeCell ref="F58:J58"/>
    <mergeCell ref="E61:M61"/>
    <mergeCell ref="E62:L62"/>
    <mergeCell ref="E63:M63"/>
    <mergeCell ref="E52:L52"/>
    <mergeCell ref="E53:M53"/>
    <mergeCell ref="F56:M56"/>
    <mergeCell ref="F57:K57"/>
    <mergeCell ref="K42:L42"/>
    <mergeCell ref="K43:L43"/>
    <mergeCell ref="K44:L44"/>
    <mergeCell ref="E8:I8"/>
    <mergeCell ref="K50:L50"/>
    <mergeCell ref="E51:M51"/>
    <mergeCell ref="E36:M36"/>
    <mergeCell ref="E37:L37"/>
    <mergeCell ref="E38:M38"/>
    <mergeCell ref="F41:M41"/>
    <mergeCell ref="K45:L45"/>
    <mergeCell ref="K46:L46"/>
    <mergeCell ref="K47:L47"/>
    <mergeCell ref="K48:L48"/>
    <mergeCell ref="K49:L49"/>
    <mergeCell ref="F18:H18"/>
    <mergeCell ref="F19:H19"/>
    <mergeCell ref="F20:H20"/>
    <mergeCell ref="F21:H21"/>
    <mergeCell ref="K5:M5"/>
    <mergeCell ref="F6:I6"/>
    <mergeCell ref="K6:M6"/>
    <mergeCell ref="E7:I7"/>
    <mergeCell ref="J7:M7"/>
    <mergeCell ref="F5:I5"/>
    <mergeCell ref="E1:M1"/>
    <mergeCell ref="E2:M2"/>
    <mergeCell ref="F3:I3"/>
    <mergeCell ref="K3:M3"/>
    <mergeCell ref="F4:I4"/>
    <mergeCell ref="K4:M4"/>
    <mergeCell ref="F34:M34"/>
    <mergeCell ref="E31:M31"/>
    <mergeCell ref="F10:M10"/>
    <mergeCell ref="F11:G11"/>
    <mergeCell ref="E12:M12"/>
    <mergeCell ref="E13:L13"/>
    <mergeCell ref="E14:M14"/>
    <mergeCell ref="E29:M29"/>
    <mergeCell ref="E30:L30"/>
    <mergeCell ref="F17:M17"/>
    <mergeCell ref="F25:H25"/>
    <mergeCell ref="F26:H26"/>
    <mergeCell ref="F23:H23"/>
    <mergeCell ref="F24:H24"/>
    <mergeCell ref="F22:H22"/>
  </mergeCells>
  <printOptions horizontalCentered="1"/>
  <pageMargins left="0.70866141732283472" right="0.70866141732283472" top="0.74803149606299213" bottom="0.74803149606299213" header="0.31496062992125984" footer="0.31496062992125984"/>
  <pageSetup paperSize="9" scale="72" fitToHeight="0" orientation="portrait" errors="dash" r:id="rId1"/>
  <headerFooter>
    <oddHeader>&amp;L&amp;G&amp;R&amp;D/&amp;T</oddHeader>
    <oddFooter>&amp;L&amp;F
Gjaldskrá - &amp;A&amp;R&amp;P/&amp;N</odd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9 9 8 d 2 9 0 0 - 6 7 1 a - 4 8 d 5 - b b 3 e - 3 a 3 2 8 6 d 7 1 e 0 d "   x m l n s = " h t t p : / / s c h e m a s . m i c r o s o f t . c o m / D a t a M a s h u p " > A A A A A B c D A A B Q S w M E F A A C A A g A O G R x U V z V k W + n A A A A + Q A A A B I A H A B D b 2 5 m a W c v U G F j a 2 F n Z S 5 4 b W w g o h g A K K A U A A A A A A A A A A A A A A A A A A A A A A A A A A A A h Y / N C o J A G E V f R W b v / E l R 8 j k u W g U J g R B t h 3 H S I R 3 D G d N 3 a 9 E j 9 Q o J Z b V r e Q 9 n c e 7 j d o d 0 b O r g q j t n W p s g h i k K t F V t Y W y Z o N 6 f w h V K B e y l O s t S B 5 N s X T y 6 I k G V 9 5 e Y k G E Y 8 B D h t i s J p 5 S R Y 7 b L V a U b i T 6 y + S + H x j o v r d J I w O E V I z h e M r x g a 4 5 Z R B m Q m U N m 7 N f h U z K m Q H 4 g b P r a 9 5 0 W x o X b H M g 8 g b x v i C d Q S w M E F A A C A A g A O G R x 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h k c V E o i k e 4 D g A A A B E A A A A T A B w A R m 9 y b X V s Y X M v U 2 V j d G l v b j E u b S C i G A A o o B Q A A A A A A A A A A A A A A A A A A A A A A A A A A A A r T k 0 u y c z P U w i G 0 I b W A F B L A Q I t A B Q A A g A I A D h k c V F c 1 Z F v p w A A A P k A A A A S A A A A A A A A A A A A A A A A A A A A A A B D b 2 5 m a W c v U G F j a 2 F n Z S 5 4 b W x Q S w E C L Q A U A A I A C A A 4 Z H F R D 8 r p q 6 Q A A A D p A A A A E w A A A A A A A A A A A A A A A A D z A A A A W 0 N v b n R l b n R f V H l w Z X N d L n h t b F B L A Q I t A B Q A A g A I A D h k c V E 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r D / R C 7 C B k R p 6 E 6 Q 4 l H + k / A A A A A A I A A A A A A A N m A A D A A A A A E A A A A O h T U W y L w x e P X l s o a F 1 X 3 3 w A A A A A B I A A A K A A A A A Q A A A A 0 x 5 8 I 3 z T u b 6 6 A z j O C 3 y c F l A A A A D D t v 1 L j a J o M Q / f v H N h w O K T P M Y E i Q M 3 / o n g H s v O 3 9 Y P n U D Q p 1 / 9 4 l S 0 h s V F / o u T Q H w J G 9 u Q i k P S r q v I Q + J 6 C E R J 4 / Z C w P 0 j 7 Q x g L 9 0 f G b B c v h Q A A A C 8 p v i a W p b b h 8 Q s 7 p t 7 m K U c 5 X U D f g = = < / D a t a M a s h u p > 
</file>

<file path=customXml/item2.xml><?xml version="1.0" encoding="utf-8"?>
<ct:contentTypeSchema xmlns:ct="http://schemas.microsoft.com/office/2006/metadata/contentType" xmlns:ma="http://schemas.microsoft.com/office/2006/metadata/properties/metaAttributes" ct:_="" ma:_="" ma:contentTypeName="Document" ma:contentTypeID="0x0101009BAA31A9DFAF1845B3E63ED9117B0BEF" ma:contentTypeVersion="11" ma:contentTypeDescription="Create a new document." ma:contentTypeScope="" ma:versionID="5a79530129c0c547ec337de861899e83">
  <xsd:schema xmlns:xsd="http://www.w3.org/2001/XMLSchema" xmlns:xs="http://www.w3.org/2001/XMLSchema" xmlns:p="http://schemas.microsoft.com/office/2006/metadata/properties" xmlns:ns3="d5a5f8e0-1ed0-4c62-88d6-42a8131f610a" xmlns:ns4="9c90848b-b148-480e-aa8f-4459577cbd75" targetNamespace="http://schemas.microsoft.com/office/2006/metadata/properties" ma:root="true" ma:fieldsID="ef037626f7c91aeab90256fee6a6541d" ns3:_="" ns4:_="">
    <xsd:import namespace="d5a5f8e0-1ed0-4c62-88d6-42a8131f610a"/>
    <xsd:import namespace="9c90848b-b148-480e-aa8f-4459577cbd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a5f8e0-1ed0-4c62-88d6-42a8131f61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90848b-b148-480e-aa8f-4459577cbd7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F71BBE-5837-4457-AC2C-82B1F62A5F65}">
  <ds:schemaRefs>
    <ds:schemaRef ds:uri="http://schemas.microsoft.com/DataMashup"/>
  </ds:schemaRefs>
</ds:datastoreItem>
</file>

<file path=customXml/itemProps2.xml><?xml version="1.0" encoding="utf-8"?>
<ds:datastoreItem xmlns:ds="http://schemas.openxmlformats.org/officeDocument/2006/customXml" ds:itemID="{B199442A-BEEF-4103-8925-59D7564D57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a5f8e0-1ed0-4c62-88d6-42a8131f610a"/>
    <ds:schemaRef ds:uri="9c90848b-b148-480e-aa8f-4459577cbd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A53D06-127A-4031-99C0-F182CDF8CE40}">
  <ds:schemaRefs>
    <ds:schemaRef ds:uri="http://schemas.microsoft.com/sharepoint/v3/contenttype/forms"/>
  </ds:schemaRefs>
</ds:datastoreItem>
</file>

<file path=customXml/itemProps4.xml><?xml version="1.0" encoding="utf-8"?>
<ds:datastoreItem xmlns:ds="http://schemas.openxmlformats.org/officeDocument/2006/customXml" ds:itemID="{D24A17FF-654C-4F04-B2ED-95AABD7A0D60}">
  <ds:schemaRefs>
    <ds:schemaRef ds:uri="9c90848b-b148-480e-aa8f-4459577cbd75"/>
    <ds:schemaRef ds:uri="http://schemas.microsoft.com/office/2006/metadata/properties"/>
    <ds:schemaRef ds:uri="d5a5f8e0-1ed0-4c62-88d6-42a8131f610a"/>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Heild</vt:lpstr>
      <vt:lpstr>Úthlutun lóða</vt:lpstr>
      <vt:lpstr>Kafli 1 Viðbótargjald</vt:lpstr>
      <vt:lpstr>Kafli 3 Byggingarleyfisgjald</vt:lpstr>
      <vt:lpstr>Kafli 4 Framkvæmdaleyfisgjad</vt:lpstr>
      <vt:lpstr>Kafli 5 Skipulagsbreytingar</vt:lpstr>
      <vt:lpstr>Kafli 6 Gatnagerðargjöld</vt:lpstr>
      <vt:lpstr>Kafli 7 - Holræsi</vt:lpstr>
      <vt:lpstr>Kafli 8 - Vatnsgjald</vt:lpstr>
      <vt:lpstr>Kafli 8 - Vatnsgjald (2)</vt:lpstr>
      <vt:lpstr>Uppfærslur</vt:lpstr>
      <vt:lpstr>Vísitölur</vt:lpstr>
      <vt:lpstr>Heild!Print_Area</vt:lpstr>
      <vt:lpstr>'Kafli 1 Viðbótargjald'!Print_Area</vt:lpstr>
      <vt:lpstr>'Kafli 3 Byggingarleyfisgjald'!Print_Area</vt:lpstr>
      <vt:lpstr>'Kafli 4 Framkvæmdaleyfisgjad'!Print_Area</vt:lpstr>
      <vt:lpstr>'Kafli 5 Skipulagsbreytingar'!Print_Area</vt:lpstr>
      <vt:lpstr>'Kafli 6 Gatnagerðargjöld'!Print_Area</vt:lpstr>
      <vt:lpstr>'Kafli 7 - Holræsi'!Print_Area</vt:lpstr>
      <vt:lpstr>'Kafli 8 - Vatnsgjald'!Print_Area</vt:lpstr>
      <vt:lpstr>'Kafli 8 - Vatnsgjald (2)'!Print_Area</vt:lpstr>
      <vt:lpstr>'Úthlutun lóða'!Print_Area</vt:lpstr>
      <vt:lpstr>Heild!Print_Titles</vt:lpstr>
      <vt:lpstr>'Kafli 1 Viðbótargjald'!Print_Titles</vt:lpstr>
      <vt:lpstr>'Kafli 3 Byggingarleyfisgjald'!Print_Titles</vt:lpstr>
      <vt:lpstr>'Kafli 4 Framkvæmdaleyfisgjad'!Print_Titles</vt:lpstr>
      <vt:lpstr>'Kafli 5 Skipulagsbreytingar'!Print_Titles</vt:lpstr>
      <vt:lpstr>'Kafli 6 Gatnagerðargjöld'!Print_Titles</vt:lpstr>
      <vt:lpstr>'Kafli 7 - Holræsi'!Print_Titles</vt:lpstr>
      <vt:lpstr>'Kafli 8 - Vatnsgjald'!Print_Titles</vt:lpstr>
      <vt:lpstr>'Kafli 8 - Vatnsgjald (2)'!Print_Titles</vt:lpstr>
      <vt:lpstr>'Úthlutun lóða'!Print_Titles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Garðar Tyrfingsson</dc:creator>
  <cp:lastModifiedBy>Kristina Celesova</cp:lastModifiedBy>
  <cp:lastPrinted>2026-03-10T15:51:29Z</cp:lastPrinted>
  <dcterms:created xsi:type="dcterms:W3CDTF">2017-02-21T10:27:56Z</dcterms:created>
  <dcterms:modified xsi:type="dcterms:W3CDTF">2026-06-09T15:07:10Z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0x0101009BAA31A9DFAF1845B3E63ED9117B0BEF</vt:lpwstr>
  </property>
</Properties>
</file>